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600" windowHeight="7650" tabRatio="518" activeTab="3"/>
  </bookViews>
  <sheets>
    <sheet name="S AUTO" sheetId="1" r:id="rId1"/>
    <sheet name="AUG print" sheetId="2" r:id="rId2"/>
    <sheet name="InvestMent" sheetId="3" r:id="rId3"/>
    <sheet name="InvestMent (2)" sheetId="4" r:id="rId4"/>
  </sheets>
  <definedNames>
    <definedName name="_xlnm._FilterDatabase" localSheetId="0" hidden="1">'S AUTO'!$B$7:$K$115</definedName>
  </definedNames>
  <calcPr calcId="125725"/>
</workbook>
</file>

<file path=xl/calcChain.xml><?xml version="1.0" encoding="utf-8"?>
<calcChain xmlns="http://schemas.openxmlformats.org/spreadsheetml/2006/main">
  <c r="K317" i="1"/>
  <c r="K318"/>
  <c r="K319" s="1"/>
  <c r="K320" s="1"/>
  <c r="K321" s="1"/>
  <c r="L306"/>
  <c r="L315"/>
  <c r="K310"/>
  <c r="K311" s="1"/>
  <c r="K312" s="1"/>
  <c r="K313" s="1"/>
  <c r="K314" s="1"/>
  <c r="K315" s="1"/>
  <c r="K316" s="1"/>
  <c r="F291"/>
  <c r="F290"/>
  <c r="P295" l="1"/>
  <c r="P297" s="1"/>
  <c r="P284"/>
  <c r="P286" s="1"/>
  <c r="F288" l="1"/>
  <c r="L287"/>
  <c r="H276"/>
  <c r="K272" l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F271"/>
  <c r="F270"/>
  <c r="D41" i="4"/>
  <c r="D42" s="1"/>
  <c r="D43" s="1"/>
  <c r="D44" s="1"/>
  <c r="D45" s="1"/>
  <c r="L250" i="1"/>
  <c r="L269"/>
  <c r="H260"/>
  <c r="H256"/>
  <c r="F252"/>
  <c r="K289" l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  <c r="K306" s="1"/>
  <c r="K307" s="1"/>
  <c r="K308" s="1"/>
  <c r="K309" s="1"/>
  <c r="O6"/>
  <c r="D40" i="4"/>
  <c r="F250" i="1"/>
  <c r="D30" i="4"/>
  <c r="D31" s="1"/>
  <c r="D32" s="1"/>
  <c r="D33" s="1"/>
  <c r="D34" s="1"/>
  <c r="D35" s="1"/>
  <c r="D36" s="1"/>
  <c r="D37" s="1"/>
  <c r="D38" s="1"/>
  <c r="D39" s="1"/>
  <c r="F231" i="1"/>
  <c r="H225"/>
  <c r="H222"/>
  <c r="H221"/>
  <c r="F212"/>
  <c r="F207" l="1"/>
  <c r="F206"/>
  <c r="H199"/>
  <c r="H197"/>
  <c r="F189"/>
  <c r="F194"/>
  <c r="F184"/>
  <c r="M151"/>
  <c r="F164"/>
  <c r="F165"/>
  <c r="F168"/>
  <c r="H143"/>
  <c r="F148"/>
  <c r="F145"/>
  <c r="H142"/>
  <c r="F135"/>
  <c r="M4" i="4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J2"/>
  <c r="I2"/>
  <c r="O22"/>
  <c r="O21"/>
  <c r="O20"/>
  <c r="O19"/>
  <c r="K2"/>
  <c r="O14"/>
  <c r="H131" i="1"/>
  <c r="G2" i="4" l="1"/>
  <c r="K28" i="3"/>
  <c r="L31"/>
  <c r="L30"/>
  <c r="L29"/>
  <c r="L28"/>
  <c r="F129" i="1"/>
  <c r="F125"/>
  <c r="F102" l="1"/>
  <c r="F109"/>
  <c r="F105" l="1"/>
  <c r="L1" i="3"/>
  <c r="F94" i="1"/>
  <c r="I94"/>
  <c r="H83" l="1"/>
  <c r="F88"/>
  <c r="L6"/>
  <c r="H80"/>
  <c r="F79" l="1"/>
  <c r="H77"/>
  <c r="H75" l="1"/>
  <c r="H74" l="1"/>
  <c r="F69"/>
  <c r="H67"/>
  <c r="H66"/>
  <c r="H58"/>
  <c r="H53"/>
  <c r="F52" l="1"/>
  <c r="K20" i="3"/>
  <c r="K1" s="1"/>
  <c r="F26" i="1"/>
  <c r="H25"/>
  <c r="F16"/>
  <c r="H15" l="1"/>
  <c r="H12"/>
  <c r="N13" i="3"/>
  <c r="D2"/>
  <c r="I1"/>
  <c r="B3" i="2"/>
  <c r="B5"/>
  <c r="B6"/>
  <c r="K8" i="1"/>
  <c r="B10" i="2" l="1"/>
  <c r="H6" i="1"/>
  <c r="I6" l="1"/>
  <c r="G6" l="1"/>
  <c r="K6"/>
  <c r="D4" l="1"/>
  <c r="K9" l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1" l="1"/>
  <c r="K270"/>
</calcChain>
</file>

<file path=xl/sharedStrings.xml><?xml version="1.0" encoding="utf-8"?>
<sst xmlns="http://schemas.openxmlformats.org/spreadsheetml/2006/main" count="1524" uniqueCount="753">
  <si>
    <t>SAMSUNG</t>
  </si>
  <si>
    <t>BLUE</t>
  </si>
  <si>
    <t>HUAWEI</t>
  </si>
  <si>
    <t>SL</t>
  </si>
  <si>
    <t>VIVO</t>
  </si>
  <si>
    <t>SH</t>
  </si>
  <si>
    <t>Y5 PRIME 2018</t>
  </si>
  <si>
    <t>J6</t>
  </si>
  <si>
    <t>VIVO LP</t>
  </si>
  <si>
    <t>OPPO ID</t>
  </si>
  <si>
    <r>
      <t xml:space="preserve">AVAIL </t>
    </r>
    <r>
      <rPr>
        <b/>
        <u/>
        <sz val="12"/>
        <color theme="1"/>
        <rFont val="Calibri"/>
        <family val="2"/>
        <scheme val="minor"/>
      </rPr>
      <t>195</t>
    </r>
    <r>
      <rPr>
        <b/>
        <sz val="11"/>
        <color theme="1"/>
        <rFont val="Calibri"/>
        <family val="2"/>
        <scheme val="minor"/>
      </rPr>
      <t xml:space="preserve"> MOBILE</t>
    </r>
  </si>
  <si>
    <t>SA AUTOZ</t>
  </si>
  <si>
    <t>INVESTMENT</t>
  </si>
  <si>
    <t>1 TO 30</t>
  </si>
  <si>
    <t>S AUTO</t>
  </si>
  <si>
    <t>JUL PROFIT</t>
  </si>
  <si>
    <t>JUN PROFIT</t>
  </si>
  <si>
    <t>MAY PROFIT</t>
  </si>
  <si>
    <t>APRIL PROFIT</t>
  </si>
  <si>
    <t>CASH</t>
  </si>
  <si>
    <t>INHAND</t>
  </si>
  <si>
    <t>NEB-2181</t>
  </si>
  <si>
    <t>LAST MONTH BALANCE</t>
  </si>
  <si>
    <t>Dabit:</t>
  </si>
  <si>
    <t>INVASMENT</t>
  </si>
  <si>
    <t>Qty:</t>
  </si>
  <si>
    <t>Particuler:</t>
  </si>
  <si>
    <t>Bill #</t>
  </si>
  <si>
    <t>Balance:</t>
  </si>
  <si>
    <t>Credit:</t>
  </si>
  <si>
    <t>IMEI #</t>
  </si>
  <si>
    <t>Description</t>
  </si>
  <si>
    <t>BRAND</t>
  </si>
  <si>
    <t>DATE SALE</t>
  </si>
  <si>
    <t xml:space="preserve">    CASH </t>
  </si>
  <si>
    <t>MOBILE BILL</t>
  </si>
  <si>
    <t>SHAHEEN AUTOS</t>
  </si>
  <si>
    <r>
      <t xml:space="preserve">AVAIL </t>
    </r>
    <r>
      <rPr>
        <b/>
        <u/>
        <sz val="12"/>
        <color theme="1"/>
        <rFont val="Calibri"/>
        <family val="2"/>
        <scheme val="minor"/>
      </rPr>
      <t>212</t>
    </r>
    <r>
      <rPr>
        <b/>
        <sz val="11"/>
        <color theme="1"/>
        <rFont val="Calibri"/>
        <family val="2"/>
        <scheme val="minor"/>
      </rPr>
      <t xml:space="preserve"> MOBILE</t>
    </r>
  </si>
  <si>
    <t>S AUTOZ</t>
  </si>
  <si>
    <t>SAHAAB LINKS</t>
  </si>
  <si>
    <t>LEPHONE</t>
  </si>
  <si>
    <t>AUG PROFIT</t>
  </si>
  <si>
    <t>1 TO 31</t>
  </si>
  <si>
    <t>=</t>
  </si>
  <si>
    <t>S Mobile</t>
  </si>
  <si>
    <t>Current Balance:</t>
  </si>
  <si>
    <t>Account Title:</t>
  </si>
  <si>
    <t>869331033245464</t>
  </si>
  <si>
    <t>359117093067139</t>
  </si>
  <si>
    <t>LAVENDER</t>
  </si>
  <si>
    <t>389</t>
  </si>
  <si>
    <t>390</t>
  </si>
  <si>
    <t>SEP PROFIT</t>
  </si>
  <si>
    <t>GRAND PRIME+</t>
  </si>
  <si>
    <t>355413099622322</t>
  </si>
  <si>
    <t>GOLD</t>
  </si>
  <si>
    <t>391</t>
  </si>
  <si>
    <t>J7 MAX G615F</t>
  </si>
  <si>
    <t>358514083074326</t>
  </si>
  <si>
    <t>BLACK</t>
  </si>
  <si>
    <t>392</t>
  </si>
  <si>
    <t>QMOBILE</t>
  </si>
  <si>
    <t>i8i</t>
  </si>
  <si>
    <t>351632096957126</t>
  </si>
  <si>
    <t>MATE 10 LITE</t>
  </si>
  <si>
    <t>869354035139295</t>
  </si>
  <si>
    <t>393</t>
  </si>
  <si>
    <t>394</t>
  </si>
  <si>
    <t>Cash Recive</t>
  </si>
  <si>
    <t>OPPO</t>
  </si>
  <si>
    <t>A37 2/16</t>
  </si>
  <si>
    <t>868631036578899</t>
  </si>
  <si>
    <t>395</t>
  </si>
  <si>
    <t>396</t>
  </si>
  <si>
    <t>GRAND PRIME PRO</t>
  </si>
  <si>
    <t>356458099261562</t>
  </si>
  <si>
    <t>398</t>
  </si>
  <si>
    <t>397</t>
  </si>
  <si>
    <t>A83 3/32</t>
  </si>
  <si>
    <t>867611035320072</t>
  </si>
  <si>
    <t>champean</t>
  </si>
  <si>
    <t>868631036573072</t>
  </si>
  <si>
    <t>F9 4/64</t>
  </si>
  <si>
    <t>863503045274973</t>
  </si>
  <si>
    <t>Starry Purple</t>
  </si>
  <si>
    <t>399</t>
  </si>
  <si>
    <t>i6 MATEL 2017</t>
  </si>
  <si>
    <t>359520080443454</t>
  </si>
  <si>
    <t>869331033721852</t>
  </si>
  <si>
    <t>400</t>
  </si>
  <si>
    <t>1001</t>
  </si>
  <si>
    <t>Y9 PRIME 2018</t>
  </si>
  <si>
    <t>867419037747379</t>
  </si>
  <si>
    <t>J6 PLUS</t>
  </si>
  <si>
    <t>352812102298249</t>
  </si>
  <si>
    <t>GRAY</t>
  </si>
  <si>
    <t>1002</t>
  </si>
  <si>
    <t>1003</t>
  </si>
  <si>
    <t>OCT PROFIT</t>
  </si>
  <si>
    <t>NOV PROFIT</t>
  </si>
  <si>
    <t>1004</t>
  </si>
  <si>
    <t>352812104078631</t>
  </si>
  <si>
    <t>NOVEMBER</t>
  </si>
  <si>
    <t>SHAHEEN SAHIB</t>
  </si>
  <si>
    <t>WAPSI</t>
  </si>
  <si>
    <t>1005</t>
  </si>
  <si>
    <t>1006</t>
  </si>
  <si>
    <t>1007</t>
  </si>
  <si>
    <t>1008</t>
  </si>
  <si>
    <t>SL,    BLACK</t>
  </si>
  <si>
    <t>F5 YOUTH</t>
  </si>
  <si>
    <t>A83 4/64</t>
  </si>
  <si>
    <t>RED</t>
  </si>
  <si>
    <t>F7 4/64</t>
  </si>
  <si>
    <t>SL,    GOLD</t>
  </si>
  <si>
    <t>863899040082530</t>
  </si>
  <si>
    <t>868475031658318</t>
  </si>
  <si>
    <t>A3S 2/16</t>
  </si>
  <si>
    <t>869351034063476</t>
  </si>
  <si>
    <t>PURPLE</t>
  </si>
  <si>
    <t>1009</t>
  </si>
  <si>
    <t>1010</t>
  </si>
  <si>
    <t>1011</t>
  </si>
  <si>
    <t>SL,    SILVER</t>
  </si>
  <si>
    <t>Reciced</t>
  </si>
  <si>
    <t>Dec</t>
  </si>
  <si>
    <t>1012</t>
  </si>
  <si>
    <t>1013</t>
  </si>
  <si>
    <t>1014</t>
  </si>
  <si>
    <t>1015</t>
  </si>
  <si>
    <t>1016</t>
  </si>
  <si>
    <t>1017</t>
  </si>
  <si>
    <t xml:space="preserve">A71 </t>
  </si>
  <si>
    <t>S8</t>
  </si>
  <si>
    <t>INFINITY CINEMA</t>
  </si>
  <si>
    <t>G,P, PRO</t>
  </si>
  <si>
    <t>DARK BLUE</t>
  </si>
  <si>
    <t>COLOUR</t>
  </si>
  <si>
    <t>F5 4GBRAM</t>
  </si>
  <si>
    <t>866565031670198</t>
  </si>
  <si>
    <t>Y7 PRIME 2018</t>
  </si>
  <si>
    <t>864925042531734</t>
  </si>
  <si>
    <t>868631036433871</t>
  </si>
  <si>
    <t>J4 J400F</t>
  </si>
  <si>
    <t>358410092450294</t>
  </si>
  <si>
    <t>1018</t>
  </si>
  <si>
    <t>1019</t>
  </si>
  <si>
    <t>1020</t>
  </si>
  <si>
    <t>1021</t>
  </si>
  <si>
    <t>MEIZU</t>
  </si>
  <si>
    <t>M6 /3GB</t>
  </si>
  <si>
    <t>7A</t>
  </si>
  <si>
    <t>HONER</t>
  </si>
  <si>
    <t>1022</t>
  </si>
  <si>
    <t>1023</t>
  </si>
  <si>
    <t>1024</t>
  </si>
  <si>
    <t>1025</t>
  </si>
  <si>
    <t>J7 MAX</t>
  </si>
  <si>
    <t>DEC PROFIT</t>
  </si>
  <si>
    <t xml:space="preserve"> Entry DATE</t>
  </si>
  <si>
    <t>1026</t>
  </si>
  <si>
    <t>1027</t>
  </si>
  <si>
    <t>CONTACT:</t>
  </si>
  <si>
    <t>0305 4475447</t>
  </si>
  <si>
    <t>ENERGY X2</t>
  </si>
  <si>
    <t>356808080426915</t>
  </si>
  <si>
    <t>869184030250056</t>
  </si>
  <si>
    <t>1028</t>
  </si>
  <si>
    <t>1029</t>
  </si>
  <si>
    <t>1030</t>
  </si>
  <si>
    <t>1031</t>
  </si>
  <si>
    <t>1032</t>
  </si>
  <si>
    <t>1033</t>
  </si>
  <si>
    <t>TELENOR</t>
  </si>
  <si>
    <t>A3S 3/32</t>
  </si>
  <si>
    <t>A2</t>
  </si>
  <si>
    <t>869184030999595</t>
  </si>
  <si>
    <t>869184031360011</t>
  </si>
  <si>
    <t>X700 PRO II</t>
  </si>
  <si>
    <t>355553081499997</t>
  </si>
  <si>
    <t>1034</t>
  </si>
  <si>
    <t>1035</t>
  </si>
  <si>
    <t>1036</t>
  </si>
  <si>
    <t>JAN PROFIT</t>
  </si>
  <si>
    <t>i4 (1/16)</t>
  </si>
  <si>
    <t>354846100415700</t>
  </si>
  <si>
    <t>1037</t>
  </si>
  <si>
    <t>Y7 PRIME 2019</t>
  </si>
  <si>
    <t>867037048783041</t>
  </si>
  <si>
    <t>i5i 2018</t>
  </si>
  <si>
    <t>352044100220567</t>
  </si>
  <si>
    <t>1038</t>
  </si>
  <si>
    <t>1039</t>
  </si>
  <si>
    <t>867037044999369</t>
  </si>
  <si>
    <t>1040</t>
  </si>
  <si>
    <t>1041</t>
  </si>
  <si>
    <r>
      <rPr>
        <b/>
        <i/>
        <sz val="9"/>
        <rFont val="Calibri"/>
        <family val="2"/>
        <scheme val="minor"/>
      </rPr>
      <t>Midnight</t>
    </r>
    <r>
      <rPr>
        <b/>
        <i/>
        <sz val="11"/>
        <rFont val="Calibri"/>
        <family val="2"/>
        <scheme val="minor"/>
      </rPr>
      <t xml:space="preserve"> BLACK</t>
    </r>
  </si>
  <si>
    <t>867037041394788</t>
  </si>
  <si>
    <t>J4 PLUS</t>
  </si>
  <si>
    <t>1042</t>
  </si>
  <si>
    <t>351590100594139</t>
  </si>
  <si>
    <t>869184031400338</t>
  </si>
  <si>
    <t>861802040969054</t>
  </si>
  <si>
    <t>1043</t>
  </si>
  <si>
    <t>1044</t>
  </si>
  <si>
    <t>1045</t>
  </si>
  <si>
    <t>1046</t>
  </si>
  <si>
    <t>1047</t>
  </si>
  <si>
    <t>1048</t>
  </si>
  <si>
    <t>J4</t>
  </si>
  <si>
    <t>861802040579291</t>
  </si>
  <si>
    <t>355553081676453</t>
  </si>
  <si>
    <t>356555098987095</t>
  </si>
  <si>
    <t>868096034274067</t>
  </si>
  <si>
    <t>867037042712046</t>
  </si>
  <si>
    <t>865494040663485</t>
  </si>
  <si>
    <r>
      <rPr>
        <b/>
        <sz val="9"/>
        <rFont val="Calibri"/>
        <family val="2"/>
        <scheme val="minor"/>
      </rPr>
      <t>MIDNIGHT</t>
    </r>
    <r>
      <rPr>
        <b/>
        <sz val="11"/>
        <rFont val="Calibri"/>
        <family val="2"/>
        <scheme val="minor"/>
      </rPr>
      <t xml:space="preserve"> BLACK</t>
    </r>
  </si>
  <si>
    <t>1049</t>
  </si>
  <si>
    <t>1050</t>
  </si>
  <si>
    <t>1051</t>
  </si>
  <si>
    <t>1052</t>
  </si>
  <si>
    <t>INFINITY e4 (2/16)</t>
  </si>
  <si>
    <t>353546100020820</t>
  </si>
  <si>
    <t>J6+</t>
  </si>
  <si>
    <t>354402105881932</t>
  </si>
  <si>
    <t>1053</t>
  </si>
  <si>
    <t>1054</t>
  </si>
  <si>
    <t>1055</t>
  </si>
  <si>
    <t>1056</t>
  </si>
  <si>
    <t>1057</t>
  </si>
  <si>
    <t>1058</t>
  </si>
  <si>
    <t>1059</t>
  </si>
  <si>
    <t>1060</t>
  </si>
  <si>
    <t>V2 2018 TAB</t>
  </si>
  <si>
    <t>v220181810003523</t>
  </si>
  <si>
    <t>Black</t>
  </si>
  <si>
    <t>869184033274079</t>
  </si>
  <si>
    <t>M6 M7 11H 3GB</t>
  </si>
  <si>
    <t>866109038908242</t>
  </si>
  <si>
    <t>FIRE</t>
  </si>
  <si>
    <t>354449100090464</t>
  </si>
  <si>
    <r>
      <rPr>
        <b/>
        <i/>
        <sz val="9"/>
        <rFont val="Calibri"/>
        <family val="2"/>
        <scheme val="minor"/>
      </rPr>
      <t>AURORA</t>
    </r>
    <r>
      <rPr>
        <b/>
        <i/>
        <sz val="10"/>
        <rFont val="Calibri"/>
        <family val="2"/>
        <scheme val="minor"/>
      </rPr>
      <t xml:space="preserve"> BLUE</t>
    </r>
  </si>
  <si>
    <t>J7 CORE 2</t>
  </si>
  <si>
    <t>356425090208348</t>
  </si>
  <si>
    <t>869184032895932</t>
  </si>
  <si>
    <t>Purple</t>
  </si>
  <si>
    <t>861962045706677</t>
  </si>
  <si>
    <t>355553081617143</t>
  </si>
  <si>
    <t>869184034570616</t>
  </si>
  <si>
    <t>1061</t>
  </si>
  <si>
    <t>FEB PROFIT</t>
  </si>
  <si>
    <t>354449100094086</t>
  </si>
  <si>
    <t>1062</t>
  </si>
  <si>
    <t>MOHSIN+QASIM</t>
  </si>
  <si>
    <t>MAR PROFIT</t>
  </si>
  <si>
    <t>Y9 PRIME 2019</t>
  </si>
  <si>
    <t>860926044061203</t>
  </si>
  <si>
    <t>S. BLUE</t>
  </si>
  <si>
    <t>INFINITY D</t>
  </si>
  <si>
    <t>357617090000480</t>
  </si>
  <si>
    <t>1063</t>
  </si>
  <si>
    <t>1064</t>
  </si>
  <si>
    <t>A7  3/64</t>
  </si>
  <si>
    <t>867813041585652</t>
  </si>
  <si>
    <t>Glaze Blue</t>
  </si>
  <si>
    <t>1065</t>
  </si>
  <si>
    <t>862812049284412</t>
  </si>
  <si>
    <t xml:space="preserve">A10 </t>
  </si>
  <si>
    <t>355415107754237</t>
  </si>
  <si>
    <t>1066</t>
  </si>
  <si>
    <t>1067</t>
  </si>
  <si>
    <t>1068</t>
  </si>
  <si>
    <t>Y7 PRIME 19</t>
  </si>
  <si>
    <t>567560</t>
  </si>
  <si>
    <t>355415107446321</t>
  </si>
  <si>
    <t>1069</t>
  </si>
  <si>
    <t>A3S 2GB/16GB</t>
  </si>
  <si>
    <t>869184034577819</t>
  </si>
  <si>
    <t>1070</t>
  </si>
  <si>
    <t>353546100125264</t>
  </si>
  <si>
    <t>1071</t>
  </si>
  <si>
    <t>APR PROFIT</t>
  </si>
  <si>
    <t>861802040468222</t>
  </si>
  <si>
    <t>Midnight Black</t>
  </si>
  <si>
    <t>861802040538891</t>
  </si>
  <si>
    <t>869184034954554</t>
  </si>
  <si>
    <t>A3S, 2GB/16GB</t>
  </si>
  <si>
    <t>1072</t>
  </si>
  <si>
    <t>1073</t>
  </si>
  <si>
    <t>1074</t>
  </si>
  <si>
    <t>A30 4/64</t>
  </si>
  <si>
    <t>354874105556989</t>
  </si>
  <si>
    <t>354874101951085</t>
  </si>
  <si>
    <t>1075</t>
  </si>
  <si>
    <t>1076</t>
  </si>
  <si>
    <t>869184034463051</t>
  </si>
  <si>
    <t>1077</t>
  </si>
  <si>
    <t>1078</t>
  </si>
  <si>
    <t>A5S 2/32</t>
  </si>
  <si>
    <t>860217040465113</t>
  </si>
  <si>
    <t>.VIVO</t>
  </si>
  <si>
    <t>Y91 3/64</t>
  </si>
  <si>
    <t>865682042523810</t>
  </si>
  <si>
    <t>Y6 PRIME 19 2/32</t>
  </si>
  <si>
    <t>000000000 87870</t>
  </si>
  <si>
    <t>Y7 PRIME 19, 3/64</t>
  </si>
  <si>
    <t>868424040398466</t>
  </si>
  <si>
    <t>STAREY BLACK</t>
  </si>
  <si>
    <t>MidNight BLACK</t>
  </si>
  <si>
    <t>1079</t>
  </si>
  <si>
    <t>1080</t>
  </si>
  <si>
    <t>1081</t>
  </si>
  <si>
    <t>A20 3/32</t>
  </si>
  <si>
    <t>357086104001316</t>
  </si>
  <si>
    <t>359117092984854</t>
  </si>
  <si>
    <t>355553081502691</t>
  </si>
  <si>
    <t>1083</t>
  </si>
  <si>
    <t>1084</t>
  </si>
  <si>
    <t>1085</t>
  </si>
  <si>
    <t>1082</t>
  </si>
  <si>
    <t>DEEP BLUE</t>
  </si>
  <si>
    <t>A3S 3GB/32GB</t>
  </si>
  <si>
    <t>863080044514113</t>
  </si>
  <si>
    <t>1086</t>
  </si>
  <si>
    <t>SMART 3 PLUS</t>
  </si>
  <si>
    <t>355480102439820</t>
  </si>
  <si>
    <t>A1K 2GB/32GB</t>
  </si>
  <si>
    <t>864859040394656</t>
  </si>
  <si>
    <t>INFINIX</t>
  </si>
  <si>
    <t>1087</t>
  </si>
  <si>
    <t>1088</t>
  </si>
  <si>
    <t>1089</t>
  </si>
  <si>
    <t>1090</t>
  </si>
  <si>
    <t>A5S 3/32</t>
  </si>
  <si>
    <t>F11 PRO</t>
  </si>
  <si>
    <t>862026040933071</t>
  </si>
  <si>
    <t>Y6 PRIME 19</t>
  </si>
  <si>
    <t>865339043543418</t>
  </si>
  <si>
    <t>BROWN</t>
  </si>
  <si>
    <t>860217040673997</t>
  </si>
  <si>
    <t>1091</t>
  </si>
  <si>
    <t>A10 2GB/32GB</t>
  </si>
  <si>
    <t>357184109247453</t>
  </si>
  <si>
    <t>Y7 PRIME 19, 3/32</t>
  </si>
  <si>
    <t>867037048066975</t>
  </si>
  <si>
    <t>A1K, 2/32</t>
  </si>
  <si>
    <t>864859040117032</t>
  </si>
  <si>
    <t>1092</t>
  </si>
  <si>
    <t>1093</t>
  </si>
  <si>
    <t>1094</t>
  </si>
  <si>
    <t>Salery</t>
  </si>
  <si>
    <t>QASIM</t>
  </si>
  <si>
    <t>MOHSIN</t>
  </si>
  <si>
    <t>F11, 4/64</t>
  </si>
  <si>
    <t>1095</t>
  </si>
  <si>
    <t>1096</t>
  </si>
  <si>
    <t>868884042047140</t>
  </si>
  <si>
    <t>861335042798692</t>
  </si>
  <si>
    <t>A5s, 3/32</t>
  </si>
  <si>
    <t>oppo mobile purchase</t>
  </si>
  <si>
    <t>Month Profit</t>
  </si>
  <si>
    <t xml:space="preserve">Employ </t>
  </si>
  <si>
    <t>MOBILE  INVESTMENT</t>
  </si>
  <si>
    <t>December</t>
  </si>
  <si>
    <t>January</t>
  </si>
  <si>
    <t>February</t>
  </si>
  <si>
    <t>March</t>
  </si>
  <si>
    <t>April</t>
  </si>
  <si>
    <t>May</t>
  </si>
  <si>
    <t>June</t>
  </si>
  <si>
    <t>November</t>
  </si>
  <si>
    <t>July</t>
  </si>
  <si>
    <t>August</t>
  </si>
  <si>
    <t>September</t>
  </si>
  <si>
    <t>October</t>
  </si>
  <si>
    <t>March,April</t>
  </si>
  <si>
    <t>Total &gt;</t>
  </si>
  <si>
    <t>SHAHEEN SAB</t>
  </si>
  <si>
    <t>864859042143937</t>
  </si>
  <si>
    <t>860217042199132</t>
  </si>
  <si>
    <t>A30.  4/64</t>
  </si>
  <si>
    <t>356970101463556</t>
  </si>
  <si>
    <t>WHITE</t>
  </si>
  <si>
    <t>864859042234116</t>
  </si>
  <si>
    <t>A5,  4/32</t>
  </si>
  <si>
    <t>869145032868872</t>
  </si>
  <si>
    <t>Diamond Blue</t>
  </si>
  <si>
    <t>A10, 3/32</t>
  </si>
  <si>
    <t>357184109827213</t>
  </si>
  <si>
    <t>1097</t>
  </si>
  <si>
    <t>1098</t>
  </si>
  <si>
    <t>1099</t>
  </si>
  <si>
    <t>1100</t>
  </si>
  <si>
    <t>1101</t>
  </si>
  <si>
    <t>1102</t>
  </si>
  <si>
    <t>1103</t>
  </si>
  <si>
    <t>Y9 Prime 19, 4/128</t>
  </si>
  <si>
    <t>863031049980890</t>
  </si>
  <si>
    <t>Sapphire Blue</t>
  </si>
  <si>
    <t>864859043051733</t>
  </si>
  <si>
    <t>A10, 2/32</t>
  </si>
  <si>
    <t>358386100713032</t>
  </si>
  <si>
    <t>1104</t>
  </si>
  <si>
    <t>1105</t>
  </si>
  <si>
    <t>1106</t>
  </si>
  <si>
    <t>355480105331461</t>
  </si>
  <si>
    <t>MIDNIGHT BLACK</t>
  </si>
  <si>
    <t>A5S, 3/32</t>
  </si>
  <si>
    <t>860217044168937</t>
  </si>
  <si>
    <t>A30, 4/64</t>
  </si>
  <si>
    <t>358384100616651</t>
  </si>
  <si>
    <t>1107</t>
  </si>
  <si>
    <t>1108</t>
  </si>
  <si>
    <t>1109</t>
  </si>
  <si>
    <t>354449100089722</t>
  </si>
  <si>
    <t>1110</t>
  </si>
  <si>
    <t>Y6 2019, 2/32</t>
  </si>
  <si>
    <t>865339047456427</t>
  </si>
  <si>
    <t>SMART 3 Plus</t>
  </si>
  <si>
    <t>355480108159984</t>
  </si>
  <si>
    <t>864859042438592</t>
  </si>
  <si>
    <t>864859043049752</t>
  </si>
  <si>
    <t>A7, 3/64</t>
  </si>
  <si>
    <t>867813041766377</t>
  </si>
  <si>
    <t>358386102348316</t>
  </si>
  <si>
    <t>357623100322195</t>
  </si>
  <si>
    <t>357623104964091</t>
  </si>
  <si>
    <t>8C, 3/32</t>
  </si>
  <si>
    <t>862201044677681</t>
  </si>
  <si>
    <t>860217045537676</t>
  </si>
  <si>
    <t>357648107611563</t>
  </si>
  <si>
    <t>Y9 2019, 4/128</t>
  </si>
  <si>
    <t>860658046186890</t>
  </si>
  <si>
    <t>GREEN</t>
  </si>
  <si>
    <t>Y7 19,  3/32</t>
  </si>
  <si>
    <t>861802040453109</t>
  </si>
  <si>
    <t>860217045966578</t>
  </si>
  <si>
    <t>358386100495408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</si>
  <si>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</si>
  <si>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</si>
  <si>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</si>
  <si>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</si>
  <si>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</si>
  <si>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</si>
  <si>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</si>
  <si>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</si>
  <si>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</si>
  <si>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</si>
  <si>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</si>
  <si>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</si>
  <si>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</si>
  <si>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</si>
  <si>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</si>
  <si>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358386100720375</t>
  </si>
  <si>
    <t>A5s, 4/64</t>
  </si>
  <si>
    <t>860217043886232</t>
  </si>
  <si>
    <t>1126</t>
  </si>
  <si>
    <t>1127</t>
  </si>
  <si>
    <t>355480109730007</t>
  </si>
  <si>
    <t>SPARK GO, 2/16</t>
  </si>
  <si>
    <t>358416100143888</t>
  </si>
  <si>
    <t>NEBULA BLACK</t>
  </si>
  <si>
    <t>Y7 PRIME 19,  3/32</t>
  </si>
  <si>
    <t>867668043905096</t>
  </si>
  <si>
    <t>AURORA BLUE</t>
  </si>
  <si>
    <t>864859044251415</t>
  </si>
  <si>
    <t xml:space="preserve">7S, </t>
  </si>
  <si>
    <t>861726041709344</t>
  </si>
  <si>
    <t>867668049274562</t>
  </si>
  <si>
    <t>TECNO</t>
  </si>
  <si>
    <t>1128</t>
  </si>
  <si>
    <t>1129</t>
  </si>
  <si>
    <t>1130</t>
  </si>
  <si>
    <t>1131</t>
  </si>
  <si>
    <t>1132</t>
  </si>
  <si>
    <t>1133</t>
  </si>
  <si>
    <t>358416100449806</t>
  </si>
  <si>
    <t>Y9 Prime 19</t>
  </si>
  <si>
    <t>864309041352444</t>
  </si>
  <si>
    <t>EMERALD GREEN</t>
  </si>
  <si>
    <t>860217046145917</t>
  </si>
  <si>
    <t>358416100418868</t>
  </si>
  <si>
    <t>860217047175475</t>
  </si>
  <si>
    <t>HD+</t>
  </si>
  <si>
    <t>355378100037085</t>
  </si>
  <si>
    <t>CORAL BLUE</t>
  </si>
  <si>
    <t>Y7 PRIME 18,  3/32</t>
  </si>
  <si>
    <t>862288042207256</t>
  </si>
  <si>
    <t>860217045925038</t>
  </si>
  <si>
    <t>358587105548790</t>
  </si>
  <si>
    <t>358587102849290</t>
  </si>
  <si>
    <t>Y7 PRIME 19,  3/64</t>
  </si>
  <si>
    <t>868424046982545</t>
  </si>
  <si>
    <t>864859045326752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</si>
  <si>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</si>
  <si>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</si>
  <si>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</si>
  <si>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</si>
  <si>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</si>
  <si>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</si>
  <si>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</si>
  <si>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</si>
  <si>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</si>
  <si>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</si>
  <si>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</si>
  <si>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</si>
  <si>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</si>
  <si>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864859047244136</t>
  </si>
  <si>
    <t>A10s, 2/32</t>
  </si>
  <si>
    <t>351577112217544</t>
  </si>
  <si>
    <t>Blue</t>
  </si>
  <si>
    <t>860217045420956</t>
  </si>
  <si>
    <t>S1, 4GB</t>
  </si>
  <si>
    <t>863691049382452</t>
  </si>
  <si>
    <t>SKYLINE BLUE</t>
  </si>
  <si>
    <t>864859046983635</t>
  </si>
  <si>
    <t>A30s,</t>
  </si>
  <si>
    <t>358636101242179</t>
  </si>
  <si>
    <t>358636101146222</t>
  </si>
  <si>
    <t>860217048156359</t>
  </si>
  <si>
    <t>Y6 PRIME 19,  2/32</t>
  </si>
  <si>
    <t>862978049883659</t>
  </si>
  <si>
    <t>SAPPHIRE BLUE</t>
  </si>
  <si>
    <t>A10, 1/16</t>
  </si>
  <si>
    <t>358828100008616</t>
  </si>
  <si>
    <t>Gold</t>
  </si>
  <si>
    <t>Y9 PRIME 19,</t>
  </si>
  <si>
    <t>864309046406880</t>
  </si>
  <si>
    <t>A5 2020</t>
  </si>
  <si>
    <t>863854040557676</t>
  </si>
  <si>
    <t>DAZZLING WHITE</t>
  </si>
  <si>
    <t>868112046952671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</si>
  <si>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</si>
  <si>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</si>
  <si>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</si>
  <si>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</si>
  <si>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</si>
  <si>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</si>
  <si>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</si>
  <si>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</si>
  <si>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</si>
  <si>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</si>
  <si>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</si>
  <si>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</si>
  <si>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E-Tachi</t>
  </si>
  <si>
    <t xml:space="preserve"> </t>
  </si>
  <si>
    <t>1159</t>
  </si>
  <si>
    <t>1160</t>
  </si>
  <si>
    <t>Y9 PRIME 19, 4/128</t>
  </si>
  <si>
    <t>Y12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</si>
  <si>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</si>
  <si>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</si>
  <si>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</si>
  <si>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</si>
  <si>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</si>
  <si>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</si>
  <si>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</si>
  <si>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</si>
  <si>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</si>
  <si>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</si>
  <si>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</si>
  <si>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</si>
  <si>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</si>
  <si>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</si>
  <si>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</si>
  <si>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</si>
  <si>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</si>
  <si>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</si>
  <si>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LP</t>
  </si>
  <si>
    <t>Quetzal CYAN</t>
  </si>
  <si>
    <t>Vacation Blue</t>
  </si>
  <si>
    <t>A20s</t>
  </si>
  <si>
    <t>352233112934428</t>
  </si>
  <si>
    <t>Hot 8 4/64</t>
  </si>
  <si>
    <t>353325111302380</t>
  </si>
  <si>
    <t>Y9 PRIME 19,  4/128</t>
  </si>
  <si>
    <t>867182043243714</t>
  </si>
  <si>
    <t>351577116538424</t>
  </si>
  <si>
    <t>359068100407646</t>
  </si>
  <si>
    <t>351577117184889</t>
  </si>
  <si>
    <t>353325111775460</t>
  </si>
  <si>
    <t>Y15 4/64</t>
  </si>
  <si>
    <t>862564047781093</t>
  </si>
  <si>
    <t>A5s, 2/32</t>
  </si>
  <si>
    <t>860217045466751</t>
  </si>
  <si>
    <t>SPARK 4, 3/32</t>
  </si>
  <si>
    <t>359068103993741</t>
  </si>
  <si>
    <t>860217047035133</t>
  </si>
  <si>
    <t>353325113049609</t>
  </si>
  <si>
    <t>867182047628001</t>
  </si>
  <si>
    <t>S5, 4/64</t>
  </si>
  <si>
    <t>357949101257480</t>
  </si>
  <si>
    <t xml:space="preserve">SPARK GO </t>
  </si>
  <si>
    <t>351677110388543</t>
  </si>
  <si>
    <t>357949101258462</t>
  </si>
  <si>
    <t>Y7 PRIME 19 3/64</t>
  </si>
  <si>
    <t>868307042332528</t>
  </si>
  <si>
    <t>860217046647953</t>
  </si>
  <si>
    <t>.OPPO</t>
  </si>
  <si>
    <t>.TECNO</t>
  </si>
  <si>
    <t>359068105047942</t>
  </si>
  <si>
    <t>860217049425951</t>
  </si>
  <si>
    <t>A5, 3/64</t>
  </si>
  <si>
    <t>864363041586493</t>
  </si>
  <si>
    <t>359068105056661</t>
  </si>
  <si>
    <t>Y93</t>
  </si>
  <si>
    <t>865386046292279</t>
  </si>
  <si>
    <t>.SAMSUNG</t>
  </si>
  <si>
    <t>352121114984816</t>
  </si>
  <si>
    <t xml:space="preserve">A20s, </t>
  </si>
  <si>
    <t>353244115643394</t>
  </si>
  <si>
    <t>.TELENOR</t>
  </si>
  <si>
    <t>a2</t>
  </si>
  <si>
    <t>865172030086046</t>
  </si>
  <si>
    <t>S1</t>
  </si>
  <si>
    <t>863691046606259</t>
  </si>
  <si>
    <t>359068105318749</t>
  </si>
  <si>
    <t>359068105659266</t>
  </si>
  <si>
    <t>.HUAWEI</t>
  </si>
  <si>
    <t>867037048780880</t>
  </si>
  <si>
    <t>868538042162891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</si>
  <si>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</si>
  <si>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</si>
  <si>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</si>
  <si>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</si>
  <si>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</si>
  <si>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</si>
  <si>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</si>
  <si>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</si>
  <si>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</si>
  <si>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</si>
  <si>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</si>
  <si>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</si>
  <si>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</si>
  <si>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</si>
  <si>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</si>
  <si>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</si>
  <si>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</si>
  <si>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 xml:space="preserve">PURPLE </t>
  </si>
  <si>
    <t>A9, 8/128</t>
  </si>
  <si>
    <t>868655041730856</t>
  </si>
  <si>
    <t>359068106108362</t>
  </si>
  <si>
    <t>352123113870988</t>
  </si>
  <si>
    <t>.Infinix</t>
  </si>
  <si>
    <t>357949102168561</t>
  </si>
  <si>
    <t>Column1</t>
  </si>
  <si>
    <t>NOT AVAIL</t>
  </si>
  <si>
    <t>AVAIL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</si>
  <si>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</si>
  <si>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</si>
  <si>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</si>
  <si>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</si>
  <si>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</si>
  <si>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</si>
  <si>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</si>
  <si>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</si>
  <si>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</si>
  <si>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</si>
  <si>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</si>
  <si>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</si>
  <si>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</si>
  <si>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</si>
  <si>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</si>
  <si>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</si>
  <si>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A20s, 3/32</t>
  </si>
  <si>
    <t>S5 LITE, 4/64</t>
  </si>
  <si>
    <t>357950105370881</t>
  </si>
  <si>
    <t>A5 2020, 3/64</t>
  </si>
  <si>
    <t>868538044347839</t>
  </si>
  <si>
    <t>CAMON 12 AIR, 4/64</t>
  </si>
  <si>
    <t>352125111628284</t>
  </si>
  <si>
    <t>.REALME</t>
  </si>
  <si>
    <t>C2, 3/32</t>
  </si>
  <si>
    <t>Y6 PRIME 19, 2/32</t>
  </si>
  <si>
    <t>868538040373615</t>
  </si>
  <si>
    <t>Y19, 4/128</t>
  </si>
  <si>
    <t>S5, 6/128</t>
  </si>
  <si>
    <t>S5LITE, 4/64</t>
  </si>
  <si>
    <t>A51, 6/128</t>
  </si>
  <si>
    <t>COLOR</t>
  </si>
  <si>
    <t>VIOLET</t>
  </si>
  <si>
    <t>Mirror Black</t>
  </si>
  <si>
    <t>BAY BLUE</t>
  </si>
  <si>
    <t>Sapphir Blue</t>
  </si>
  <si>
    <t>Spair White</t>
  </si>
  <si>
    <t>VACATION BLUE</t>
  </si>
  <si>
    <t>QUETZAL CYAN</t>
  </si>
  <si>
    <t>1212</t>
  </si>
  <si>
    <t>SMART 4, 1/16</t>
  </si>
  <si>
    <t>000000000 48126</t>
  </si>
  <si>
    <t>AS 2020, 4/128</t>
  </si>
  <si>
    <t>Y6s, 3/64</t>
  </si>
  <si>
    <t>A5-2020, 4/128</t>
  </si>
  <si>
    <t>V17, 8/256</t>
  </si>
  <si>
    <t>Y7 19, 3/64</t>
  </si>
  <si>
    <t>SMART 4, 2/32</t>
  </si>
  <si>
    <t>A5-2020, 3/64</t>
  </si>
  <si>
    <t>Y9s, 6/128</t>
  </si>
  <si>
    <t>S1 PRO, 8/128</t>
  </si>
  <si>
    <t>Y90, 2/32</t>
  </si>
  <si>
    <t>MIRROR BLACK</t>
  </si>
  <si>
    <t>STARRY BLACK</t>
  </si>
  <si>
    <t>Crystal Black</t>
  </si>
  <si>
    <t>Amber Brown</t>
  </si>
  <si>
    <t>Orchid Blue</t>
  </si>
  <si>
    <t>Breathing Crystal</t>
  </si>
  <si>
    <t>Mystic Black</t>
  </si>
  <si>
    <t>Starry Black</t>
  </si>
  <si>
    <t>Y9 (19), 4/128</t>
  </si>
  <si>
    <t>868538042628990</t>
  </si>
  <si>
    <t>Y11, 3/32</t>
  </si>
  <si>
    <t>CAMON 12 Air, 4/64</t>
  </si>
  <si>
    <t>Mineral Blue</t>
  </si>
  <si>
    <t>Agate Red</t>
  </si>
  <si>
    <t>Prism Crush White</t>
  </si>
  <si>
    <t>opining Feb</t>
  </si>
  <si>
    <t>Received Feb</t>
  </si>
  <si>
    <t>Balance</t>
  </si>
  <si>
    <t>purchased Feb</t>
  </si>
  <si>
    <t>closing Feb</t>
  </si>
  <si>
    <t>Received</t>
  </si>
  <si>
    <t>Opining</t>
  </si>
  <si>
    <t>Purchased</t>
  </si>
  <si>
    <t>Mar</t>
  </si>
  <si>
    <t>Closing 18-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</si>
  <si>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</si>
  <si>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</si>
  <si>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</si>
  <si>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</si>
  <si>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</si>
  <si>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</si>
  <si>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</si>
  <si>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</si>
  <si>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</si>
  <si>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</si>
  <si>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</si>
  <si>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</si>
  <si>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</si>
  <si>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</si>
  <si>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</si>
  <si>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</si>
  <si>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Y15, 4/64</t>
  </si>
  <si>
    <t>Aqua Blue</t>
  </si>
  <si>
    <t>1241</t>
  </si>
  <si>
    <t>1242</t>
  </si>
  <si>
    <t>1243</t>
  </si>
  <si>
    <t>CAMON 15 PRO, 6/128</t>
  </si>
  <si>
    <t>A30s, 128GB</t>
  </si>
  <si>
    <t>Y7p, 4/64</t>
  </si>
  <si>
    <t>.INFINIX</t>
  </si>
  <si>
    <t>NOTE7 LITE, 4/128</t>
  </si>
  <si>
    <t>OPAL WHITE</t>
  </si>
  <si>
    <t>Prism Crush Black</t>
  </si>
</sst>
</file>

<file path=xl/styles.xml><?xml version="1.0" encoding="utf-8"?>
<styleSheet xmlns="http://schemas.openxmlformats.org/spreadsheetml/2006/main">
  <numFmts count="6">
    <numFmt numFmtId="164" formatCode="ddd\ dd\-mmm\-yy"/>
    <numFmt numFmtId="165" formatCode="#,##0;[Red]#,##0"/>
    <numFmt numFmtId="166" formatCode="dd/mmm/yy\ ddd"/>
    <numFmt numFmtId="167" formatCode="0;[Red]0"/>
    <numFmt numFmtId="168" formatCode="dd\-mmm\-yy\ ddd"/>
    <numFmt numFmtId="169" formatCode="dd/mmm/yyyy\ ddd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mbria"/>
      <family val="1"/>
    </font>
    <font>
      <b/>
      <sz val="11"/>
      <name val="MS Serif"/>
      <family val="1"/>
    </font>
    <font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GeoSlab703 MdCn BT"/>
      <family val="1"/>
    </font>
    <font>
      <b/>
      <sz val="11"/>
      <color theme="0" tint="-4.9989318521683403E-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8"/>
      <color theme="0"/>
      <name val="Schadow BT"/>
      <family val="1"/>
    </font>
    <font>
      <b/>
      <i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22"/>
      <color theme="0"/>
      <name val="Cooper Black"/>
      <family val="1"/>
    </font>
    <font>
      <sz val="24"/>
      <color theme="0"/>
      <name val="Cooper Black"/>
      <family val="1"/>
    </font>
    <font>
      <b/>
      <sz val="14"/>
      <color theme="0"/>
      <name val="Baskerville Old Face"/>
      <family val="1"/>
    </font>
    <font>
      <b/>
      <u/>
      <sz val="12"/>
      <color theme="0"/>
      <name val="Baskerville Old Face"/>
      <family val="1"/>
    </font>
    <font>
      <u/>
      <sz val="11"/>
      <color theme="10"/>
      <name val="Calibri"/>
      <family val="2"/>
    </font>
    <font>
      <b/>
      <u/>
      <sz val="14"/>
      <color rgb="FF00B050"/>
      <name val="Calibri"/>
      <family val="2"/>
    </font>
    <font>
      <b/>
      <sz val="11"/>
      <color theme="0"/>
      <name val="Cambria"/>
      <family val="1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b/>
      <sz val="11"/>
      <color theme="0"/>
      <name val="MS Serif"/>
      <family val="1"/>
    </font>
    <font>
      <b/>
      <sz val="11"/>
      <color rgb="FF00B05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theme="6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theme="3" tint="0.79998168889431442"/>
      </top>
      <bottom style="medium">
        <color theme="3" tint="0.79998168889431442"/>
      </bottom>
      <diagonal/>
    </border>
    <border>
      <left style="medium">
        <color theme="3" tint="0.79998168889431442"/>
      </left>
      <right/>
      <top style="medium">
        <color theme="3" tint="0.79998168889431442"/>
      </top>
      <bottom style="medium">
        <color theme="3" tint="0.79998168889431442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/>
      <bottom style="medium">
        <color theme="3" tint="0.79998168889431442"/>
      </bottom>
      <diagonal/>
    </border>
    <border>
      <left style="medium">
        <color theme="3" tint="0.79998168889431442"/>
      </left>
      <right/>
      <top/>
      <bottom style="medium">
        <color theme="3" tint="0.79998168889431442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theme="6"/>
      </left>
      <right/>
      <top style="thin">
        <color auto="1"/>
      </top>
      <bottom style="thin">
        <color indexed="64"/>
      </bottom>
      <diagonal/>
    </border>
    <border>
      <left style="thin">
        <color theme="6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/>
      <right style="medium">
        <color indexed="64"/>
      </right>
      <top style="thin">
        <color theme="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theme="4"/>
      </bottom>
      <diagonal/>
    </border>
    <border>
      <left/>
      <right/>
      <top style="medium">
        <color auto="1"/>
      </top>
      <bottom style="thin">
        <color theme="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57">
    <xf numFmtId="0" fontId="0" fillId="0" borderId="0" xfId="0"/>
    <xf numFmtId="164" fontId="0" fillId="0" borderId="0" xfId="0" applyNumberFormat="1"/>
    <xf numFmtId="0" fontId="4" fillId="0" borderId="0" xfId="0" applyFont="1" applyFill="1"/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4" fillId="2" borderId="1" xfId="0" applyNumberFormat="1" applyFont="1" applyFill="1" applyBorder="1" applyAlignment="1">
      <alignment horizontal="right"/>
    </xf>
    <xf numFmtId="165" fontId="0" fillId="3" borderId="2" xfId="0" applyNumberForma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165" fontId="6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168" fontId="6" fillId="0" borderId="5" xfId="0" applyNumberFormat="1" applyFont="1" applyFill="1" applyBorder="1" applyAlignment="1">
      <alignment horizontal="left"/>
    </xf>
    <xf numFmtId="0" fontId="7" fillId="0" borderId="3" xfId="1" applyNumberFormat="1" applyFont="1" applyFill="1" applyBorder="1" applyAlignment="1">
      <alignment horizontal="left"/>
    </xf>
    <xf numFmtId="0" fontId="8" fillId="0" borderId="4" xfId="1" applyNumberFormat="1" applyFont="1" applyFill="1" applyBorder="1" applyAlignment="1">
      <alignment horizontal="center"/>
    </xf>
    <xf numFmtId="0" fontId="9" fillId="0" borderId="4" xfId="1" applyNumberFormat="1" applyFont="1" applyFill="1" applyBorder="1" applyAlignment="1">
      <alignment horizontal="center"/>
    </xf>
    <xf numFmtId="0" fontId="10" fillId="6" borderId="7" xfId="0" applyFont="1" applyFill="1" applyBorder="1"/>
    <xf numFmtId="165" fontId="11" fillId="6" borderId="8" xfId="0" applyNumberFormat="1" applyFont="1" applyFill="1" applyBorder="1" applyAlignment="1">
      <alignment horizontal="right" vertical="center"/>
    </xf>
    <xf numFmtId="0" fontId="12" fillId="0" borderId="9" xfId="0" applyFont="1" applyBorder="1" applyAlignment="1">
      <alignment horizontal="left"/>
    </xf>
    <xf numFmtId="165" fontId="12" fillId="0" borderId="10" xfId="0" applyNumberFormat="1" applyFont="1" applyBorder="1" applyAlignment="1">
      <alignment horizontal="center"/>
    </xf>
    <xf numFmtId="17" fontId="14" fillId="6" borderId="11" xfId="1" applyNumberFormat="1" applyFont="1" applyFill="1" applyBorder="1" applyAlignment="1">
      <alignment horizontal="center"/>
    </xf>
    <xf numFmtId="0" fontId="14" fillId="6" borderId="12" xfId="1" applyFont="1" applyFill="1" applyBorder="1" applyAlignment="1">
      <alignment horizontal="center"/>
    </xf>
    <xf numFmtId="164" fontId="0" fillId="0" borderId="0" xfId="0" applyNumberFormat="1" applyAlignment="1">
      <alignment horizontal="right"/>
    </xf>
    <xf numFmtId="37" fontId="5" fillId="0" borderId="0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165" fontId="15" fillId="7" borderId="13" xfId="0" applyNumberFormat="1" applyFont="1" applyFill="1" applyBorder="1" applyAlignment="1">
      <alignment horizontal="center"/>
    </xf>
    <xf numFmtId="0" fontId="3" fillId="0" borderId="0" xfId="0" applyFont="1"/>
    <xf numFmtId="164" fontId="5" fillId="0" borderId="14" xfId="0" applyNumberFormat="1" applyFont="1" applyFill="1" applyBorder="1" applyAlignment="1">
      <alignment horizontal="right"/>
    </xf>
    <xf numFmtId="0" fontId="7" fillId="0" borderId="0" xfId="0" applyFont="1" applyFill="1"/>
    <xf numFmtId="0" fontId="5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168" fontId="5" fillId="0" borderId="13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5" fillId="0" borderId="1" xfId="0" applyFont="1" applyBorder="1" applyAlignment="1">
      <alignment horizontal="center"/>
    </xf>
    <xf numFmtId="165" fontId="15" fillId="7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5" fillId="0" borderId="16" xfId="0" applyNumberFormat="1" applyFont="1" applyBorder="1" applyAlignment="1">
      <alignment horizontal="right"/>
    </xf>
    <xf numFmtId="168" fontId="5" fillId="0" borderId="17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165" fontId="15" fillId="7" borderId="17" xfId="0" applyNumberFormat="1" applyFont="1" applyFill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7" fillId="8" borderId="17" xfId="0" applyFont="1" applyFill="1" applyBorder="1" applyAlignment="1">
      <alignment horizontal="center"/>
    </xf>
    <xf numFmtId="164" fontId="5" fillId="0" borderId="18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horizontal="center"/>
    </xf>
    <xf numFmtId="168" fontId="7" fillId="0" borderId="5" xfId="0" applyNumberFormat="1" applyFont="1" applyFill="1" applyBorder="1" applyAlignment="1">
      <alignment horizontal="left"/>
    </xf>
    <xf numFmtId="165" fontId="18" fillId="6" borderId="19" xfId="0" applyNumberFormat="1" applyFont="1" applyFill="1" applyBorder="1" applyAlignment="1">
      <alignment horizontal="right"/>
    </xf>
    <xf numFmtId="165" fontId="2" fillId="6" borderId="19" xfId="0" applyNumberFormat="1" applyFont="1" applyFill="1" applyBorder="1" applyAlignment="1">
      <alignment horizontal="right"/>
    </xf>
    <xf numFmtId="0" fontId="18" fillId="6" borderId="19" xfId="0" applyFont="1" applyFill="1" applyBorder="1" applyAlignment="1">
      <alignment horizontal="center"/>
    </xf>
    <xf numFmtId="0" fontId="18" fillId="6" borderId="20" xfId="0" applyFont="1" applyFill="1" applyBorder="1" applyAlignment="1">
      <alignment horizontal="center"/>
    </xf>
    <xf numFmtId="165" fontId="19" fillId="6" borderId="21" xfId="0" applyNumberFormat="1" applyFont="1" applyFill="1" applyBorder="1" applyAlignment="1">
      <alignment horizontal="right" vertical="center"/>
    </xf>
    <xf numFmtId="164" fontId="18" fillId="6" borderId="8" xfId="0" applyNumberFormat="1" applyFont="1" applyFill="1" applyBorder="1" applyAlignment="1">
      <alignment horizontal="center"/>
    </xf>
    <xf numFmtId="164" fontId="20" fillId="0" borderId="8" xfId="0" applyNumberFormat="1" applyFont="1" applyFill="1" applyBorder="1" applyAlignment="1">
      <alignment horizontal="center"/>
    </xf>
    <xf numFmtId="0" fontId="18" fillId="6" borderId="7" xfId="0" applyFont="1" applyFill="1" applyBorder="1" applyAlignment="1">
      <alignment horizontal="center"/>
    </xf>
    <xf numFmtId="165" fontId="18" fillId="6" borderId="19" xfId="0" applyNumberFormat="1" applyFont="1" applyFill="1" applyBorder="1" applyAlignment="1">
      <alignment horizontal="center"/>
    </xf>
    <xf numFmtId="165" fontId="18" fillId="6" borderId="22" xfId="0" applyNumberFormat="1" applyFont="1" applyFill="1" applyBorder="1" applyAlignment="1">
      <alignment horizontal="center"/>
    </xf>
    <xf numFmtId="167" fontId="18" fillId="6" borderId="0" xfId="0" applyNumberFormat="1" applyFont="1" applyFill="1" applyBorder="1" applyAlignment="1">
      <alignment horizontal="center"/>
    </xf>
    <xf numFmtId="0" fontId="18" fillId="6" borderId="0" xfId="0" applyFont="1" applyFill="1" applyBorder="1" applyAlignment="1">
      <alignment horizontal="center"/>
    </xf>
    <xf numFmtId="0" fontId="18" fillId="6" borderId="23" xfId="0" applyFont="1" applyFill="1" applyBorder="1" applyAlignment="1">
      <alignment horizontal="center"/>
    </xf>
    <xf numFmtId="166" fontId="18" fillId="6" borderId="8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165" fontId="22" fillId="6" borderId="21" xfId="0" applyNumberFormat="1" applyFont="1" applyFill="1" applyBorder="1" applyAlignment="1">
      <alignment horizontal="right"/>
    </xf>
    <xf numFmtId="165" fontId="19" fillId="6" borderId="21" xfId="0" applyNumberFormat="1" applyFont="1" applyFill="1" applyBorder="1" applyAlignment="1">
      <alignment horizontal="right"/>
    </xf>
    <xf numFmtId="0" fontId="23" fillId="6" borderId="21" xfId="0" applyFont="1" applyFill="1" applyBorder="1" applyAlignment="1">
      <alignment horizontal="center"/>
    </xf>
    <xf numFmtId="0" fontId="23" fillId="6" borderId="21" xfId="0" applyFont="1" applyFill="1" applyBorder="1" applyAlignment="1">
      <alignment horizontal="left"/>
    </xf>
    <xf numFmtId="164" fontId="24" fillId="6" borderId="24" xfId="0" applyNumberFormat="1" applyFont="1" applyFill="1" applyBorder="1" applyAlignment="1">
      <alignment horizontal="left"/>
    </xf>
    <xf numFmtId="165" fontId="25" fillId="0" borderId="21" xfId="0" applyNumberFormat="1" applyFont="1" applyFill="1" applyBorder="1" applyAlignment="1">
      <alignment horizontal="right" vertical="center"/>
    </xf>
    <xf numFmtId="165" fontId="19" fillId="6" borderId="25" xfId="0" applyNumberFormat="1" applyFont="1" applyFill="1" applyBorder="1" applyAlignment="1">
      <alignment horizontal="right" vertical="center"/>
    </xf>
    <xf numFmtId="165" fontId="11" fillId="6" borderId="21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/>
    </xf>
    <xf numFmtId="37" fontId="0" fillId="0" borderId="0" xfId="0" applyNumberFormat="1"/>
    <xf numFmtId="37" fontId="11" fillId="6" borderId="8" xfId="0" applyNumberFormat="1" applyFont="1" applyFill="1" applyBorder="1" applyAlignment="1">
      <alignment horizontal="right" vertical="center"/>
    </xf>
    <xf numFmtId="37" fontId="12" fillId="0" borderId="10" xfId="0" applyNumberFormat="1" applyFont="1" applyBorder="1" applyAlignment="1">
      <alignment horizontal="center"/>
    </xf>
    <xf numFmtId="37" fontId="14" fillId="6" borderId="12" xfId="1" applyNumberFormat="1" applyFont="1" applyFill="1" applyBorder="1" applyAlignment="1">
      <alignment horizontal="center"/>
    </xf>
    <xf numFmtId="0" fontId="26" fillId="6" borderId="28" xfId="0" applyNumberFormat="1" applyFont="1" applyFill="1" applyBorder="1" applyAlignment="1">
      <alignment vertical="center" wrapText="1"/>
    </xf>
    <xf numFmtId="0" fontId="26" fillId="6" borderId="27" xfId="0" applyNumberFormat="1" applyFont="1" applyFill="1" applyBorder="1" applyAlignment="1">
      <alignment vertical="center" wrapText="1"/>
    </xf>
    <xf numFmtId="0" fontId="26" fillId="6" borderId="26" xfId="0" applyNumberFormat="1" applyFont="1" applyFill="1" applyBorder="1" applyAlignment="1">
      <alignment vertical="center" wrapText="1"/>
    </xf>
    <xf numFmtId="0" fontId="4" fillId="10" borderId="0" xfId="0" applyFont="1" applyFill="1"/>
    <xf numFmtId="0" fontId="4" fillId="10" borderId="0" xfId="0" applyFont="1" applyFill="1" applyAlignment="1">
      <alignment horizontal="center"/>
    </xf>
    <xf numFmtId="166" fontId="29" fillId="10" borderId="0" xfId="0" applyNumberFormat="1" applyFont="1" applyFill="1" applyAlignment="1">
      <alignment horizontal="center"/>
    </xf>
    <xf numFmtId="165" fontId="4" fillId="10" borderId="0" xfId="0" applyNumberFormat="1" applyFont="1" applyFill="1" applyAlignment="1">
      <alignment horizontal="right"/>
    </xf>
    <xf numFmtId="0" fontId="4" fillId="10" borderId="0" xfId="0" applyFont="1" applyFill="1" applyAlignment="1">
      <alignment horizontal="right"/>
    </xf>
    <xf numFmtId="0" fontId="28" fillId="9" borderId="0" xfId="0" applyFont="1" applyFill="1" applyAlignment="1">
      <alignment horizontal="center"/>
    </xf>
    <xf numFmtId="165" fontId="28" fillId="9" borderId="0" xfId="0" applyNumberFormat="1" applyFont="1" applyFill="1" applyAlignment="1">
      <alignment horizontal="right"/>
    </xf>
    <xf numFmtId="0" fontId="28" fillId="9" borderId="0" xfId="0" applyFont="1" applyFill="1" applyAlignment="1">
      <alignment horizontal="right"/>
    </xf>
    <xf numFmtId="0" fontId="30" fillId="9" borderId="0" xfId="0" applyNumberFormat="1" applyFont="1" applyFill="1" applyBorder="1" applyAlignment="1">
      <alignment vertical="center" wrapText="1"/>
    </xf>
    <xf numFmtId="0" fontId="7" fillId="0" borderId="3" xfId="1" applyNumberFormat="1" applyFont="1" applyBorder="1" applyAlignment="1">
      <alignment horizontal="left"/>
    </xf>
    <xf numFmtId="165" fontId="7" fillId="0" borderId="3" xfId="0" applyNumberFormat="1" applyFont="1" applyFill="1" applyBorder="1" applyAlignment="1">
      <alignment horizontal="center"/>
    </xf>
    <xf numFmtId="0" fontId="7" fillId="0" borderId="4" xfId="1" applyNumberFormat="1" applyFont="1" applyFill="1" applyBorder="1" applyAlignment="1">
      <alignment horizontal="center"/>
    </xf>
    <xf numFmtId="168" fontId="6" fillId="2" borderId="4" xfId="0" applyNumberFormat="1" applyFont="1" applyFill="1" applyBorder="1" applyAlignment="1">
      <alignment horizontal="left"/>
    </xf>
    <xf numFmtId="167" fontId="7" fillId="2" borderId="3" xfId="0" applyNumberFormat="1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0" fontId="7" fillId="0" borderId="4" xfId="1" applyFont="1" applyFill="1" applyBorder="1" applyAlignment="1">
      <alignment horizontal="center"/>
    </xf>
    <xf numFmtId="0" fontId="7" fillId="11" borderId="3" xfId="1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168" fontId="6" fillId="5" borderId="5" xfId="0" applyNumberFormat="1" applyFont="1" applyFill="1" applyBorder="1" applyAlignment="1">
      <alignment horizontal="left"/>
    </xf>
    <xf numFmtId="49" fontId="6" fillId="5" borderId="3" xfId="0" applyNumberFormat="1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left"/>
    </xf>
    <xf numFmtId="0" fontId="7" fillId="5" borderId="3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right"/>
    </xf>
    <xf numFmtId="0" fontId="7" fillId="0" borderId="3" xfId="1" applyFont="1" applyFill="1" applyBorder="1" applyAlignment="1">
      <alignment horizontal="left"/>
    </xf>
    <xf numFmtId="167" fontId="7" fillId="2" borderId="3" xfId="0" applyNumberFormat="1" applyFont="1" applyFill="1" applyBorder="1" applyAlignment="1">
      <alignment horizontal="left"/>
    </xf>
    <xf numFmtId="1" fontId="36" fillId="9" borderId="0" xfId="0" applyNumberFormat="1" applyFont="1" applyFill="1" applyAlignment="1"/>
    <xf numFmtId="165" fontId="36" fillId="9" borderId="0" xfId="0" applyNumberFormat="1" applyFont="1" applyFill="1" applyAlignment="1"/>
    <xf numFmtId="0" fontId="7" fillId="0" borderId="29" xfId="1" applyNumberFormat="1" applyFont="1" applyFill="1" applyBorder="1" applyAlignment="1">
      <alignment horizontal="left"/>
    </xf>
    <xf numFmtId="0" fontId="7" fillId="0" borderId="30" xfId="1" applyNumberFormat="1" applyFont="1" applyFill="1" applyBorder="1" applyAlignment="1">
      <alignment horizontal="center"/>
    </xf>
    <xf numFmtId="1" fontId="36" fillId="9" borderId="0" xfId="0" applyNumberFormat="1" applyFont="1" applyFill="1" applyAlignment="1">
      <alignment horizontal="center"/>
    </xf>
    <xf numFmtId="0" fontId="0" fillId="9" borderId="0" xfId="0" applyFill="1" applyAlignment="1">
      <alignment horizontal="center"/>
    </xf>
    <xf numFmtId="1" fontId="36" fillId="9" borderId="0" xfId="0" applyNumberFormat="1" applyFont="1" applyFill="1" applyAlignment="1">
      <alignment horizontal="center" vertical="center"/>
    </xf>
    <xf numFmtId="1" fontId="36" fillId="9" borderId="0" xfId="0" applyNumberFormat="1" applyFont="1" applyFill="1" applyBorder="1" applyAlignment="1">
      <alignment horizontal="center" vertical="center"/>
    </xf>
    <xf numFmtId="0" fontId="7" fillId="0" borderId="31" xfId="1" applyNumberFormat="1" applyFont="1" applyFill="1" applyBorder="1" applyAlignment="1">
      <alignment horizontal="left"/>
    </xf>
    <xf numFmtId="165" fontId="39" fillId="0" borderId="3" xfId="0" applyNumberFormat="1" applyFont="1" applyFill="1" applyBorder="1" applyAlignment="1">
      <alignment horizontal="center"/>
    </xf>
    <xf numFmtId="0" fontId="7" fillId="0" borderId="3" xfId="1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5" fontId="14" fillId="12" borderId="13" xfId="0" applyNumberFormat="1" applyFont="1" applyFill="1" applyBorder="1" applyAlignment="1">
      <alignment horizontal="center"/>
    </xf>
    <xf numFmtId="37" fontId="11" fillId="6" borderId="21" xfId="0" applyNumberFormat="1" applyFont="1" applyFill="1" applyBorder="1" applyAlignment="1">
      <alignment horizontal="center"/>
    </xf>
    <xf numFmtId="49" fontId="6" fillId="13" borderId="3" xfId="0" applyNumberFormat="1" applyFont="1" applyFill="1" applyBorder="1" applyAlignment="1">
      <alignment horizontal="center"/>
    </xf>
    <xf numFmtId="14" fontId="4" fillId="10" borderId="0" xfId="0" applyNumberFormat="1" applyFont="1" applyFill="1"/>
    <xf numFmtId="168" fontId="7" fillId="0" borderId="6" xfId="1" applyNumberFormat="1" applyFont="1" applyFill="1" applyBorder="1" applyAlignment="1">
      <alignment horizontal="left"/>
    </xf>
    <xf numFmtId="3" fontId="6" fillId="5" borderId="32" xfId="1" applyNumberFormat="1" applyFont="1" applyFill="1" applyBorder="1" applyAlignment="1">
      <alignment horizontal="right"/>
    </xf>
    <xf numFmtId="49" fontId="6" fillId="0" borderId="34" xfId="1" applyNumberFormat="1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3" fontId="11" fillId="6" borderId="21" xfId="0" applyNumberFormat="1" applyFont="1" applyFill="1" applyBorder="1" applyAlignment="1">
      <alignment horizontal="center"/>
    </xf>
    <xf numFmtId="3" fontId="2" fillId="6" borderId="19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37" fontId="12" fillId="0" borderId="0" xfId="0" applyNumberFormat="1" applyFont="1"/>
    <xf numFmtId="37" fontId="3" fillId="0" borderId="0" xfId="0" applyNumberFormat="1" applyFont="1"/>
    <xf numFmtId="37" fontId="3" fillId="15" borderId="0" xfId="0" applyNumberFormat="1" applyFont="1" applyFill="1" applyAlignment="1">
      <alignment horizontal="center"/>
    </xf>
    <xf numFmtId="37" fontId="12" fillId="0" borderId="0" xfId="0" applyNumberFormat="1" applyFont="1" applyAlignment="1">
      <alignment horizontal="center"/>
    </xf>
    <xf numFmtId="37" fontId="12" fillId="0" borderId="0" xfId="0" applyNumberFormat="1" applyFont="1" applyFill="1" applyBorder="1" applyAlignment="1">
      <alignment horizontal="center"/>
    </xf>
    <xf numFmtId="37" fontId="12" fillId="15" borderId="0" xfId="0" applyNumberFormat="1" applyFont="1" applyFill="1" applyAlignment="1">
      <alignment horizontal="center"/>
    </xf>
    <xf numFmtId="165" fontId="19" fillId="6" borderId="35" xfId="0" applyNumberFormat="1" applyFont="1" applyFill="1" applyBorder="1" applyAlignment="1">
      <alignment horizontal="right" vertical="center"/>
    </xf>
    <xf numFmtId="0" fontId="18" fillId="6" borderId="35" xfId="0" applyFont="1" applyFill="1" applyBorder="1" applyAlignment="1">
      <alignment horizontal="center"/>
    </xf>
    <xf numFmtId="37" fontId="18" fillId="6" borderId="35" xfId="0" applyNumberFormat="1" applyFont="1" applyFill="1" applyBorder="1" applyAlignment="1">
      <alignment horizontal="center"/>
    </xf>
    <xf numFmtId="37" fontId="18" fillId="6" borderId="35" xfId="0" applyNumberFormat="1" applyFont="1" applyFill="1" applyBorder="1" applyAlignment="1">
      <alignment horizontal="right"/>
    </xf>
    <xf numFmtId="0" fontId="0" fillId="0" borderId="35" xfId="0" applyBorder="1"/>
    <xf numFmtId="0" fontId="0" fillId="0" borderId="35" xfId="0" applyBorder="1" applyAlignment="1">
      <alignment horizontal="center"/>
    </xf>
    <xf numFmtId="0" fontId="16" fillId="0" borderId="35" xfId="0" applyFont="1" applyBorder="1" applyAlignment="1">
      <alignment horizontal="center"/>
    </xf>
    <xf numFmtId="165" fontId="15" fillId="7" borderId="35" xfId="0" applyNumberFormat="1" applyFont="1" applyFill="1" applyBorder="1" applyAlignment="1">
      <alignment horizontal="center"/>
    </xf>
    <xf numFmtId="37" fontId="5" fillId="0" borderId="35" xfId="0" applyNumberFormat="1" applyFont="1" applyBorder="1" applyAlignment="1">
      <alignment horizontal="center"/>
    </xf>
    <xf numFmtId="37" fontId="12" fillId="0" borderId="35" xfId="0" applyNumberFormat="1" applyFont="1" applyBorder="1"/>
    <xf numFmtId="0" fontId="2" fillId="9" borderId="35" xfId="0" applyFont="1" applyFill="1" applyBorder="1" applyAlignment="1">
      <alignment horizontal="center"/>
    </xf>
    <xf numFmtId="37" fontId="5" fillId="0" borderId="35" xfId="0" applyNumberFormat="1" applyFont="1" applyFill="1" applyBorder="1" applyAlignment="1">
      <alignment horizontal="center"/>
    </xf>
    <xf numFmtId="168" fontId="5" fillId="0" borderId="35" xfId="0" applyNumberFormat="1" applyFont="1" applyFill="1" applyBorder="1" applyAlignment="1">
      <alignment horizontal="center"/>
    </xf>
    <xf numFmtId="0" fontId="17" fillId="8" borderId="35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5" xfId="0" applyFont="1" applyBorder="1"/>
    <xf numFmtId="37" fontId="0" fillId="0" borderId="35" xfId="0" applyNumberFormat="1" applyBorder="1"/>
    <xf numFmtId="165" fontId="14" fillId="12" borderId="35" xfId="0" applyNumberFormat="1" applyFont="1" applyFill="1" applyBorder="1" applyAlignment="1">
      <alignment horizontal="center"/>
    </xf>
    <xf numFmtId="164" fontId="18" fillId="6" borderId="39" xfId="0" applyNumberFormat="1" applyFont="1" applyFill="1" applyBorder="1" applyAlignment="1">
      <alignment horizontal="center"/>
    </xf>
    <xf numFmtId="164" fontId="12" fillId="0" borderId="39" xfId="0" applyNumberFormat="1" applyFont="1" applyBorder="1" applyAlignment="1">
      <alignment horizontal="right"/>
    </xf>
    <xf numFmtId="164" fontId="12" fillId="0" borderId="39" xfId="0" applyNumberFormat="1" applyFont="1" applyFill="1" applyBorder="1" applyAlignment="1">
      <alignment horizontal="right"/>
    </xf>
    <xf numFmtId="164" fontId="12" fillId="0" borderId="39" xfId="0" applyNumberFormat="1" applyFont="1" applyBorder="1"/>
    <xf numFmtId="0" fontId="0" fillId="0" borderId="41" xfId="0" applyBorder="1"/>
    <xf numFmtId="0" fontId="23" fillId="6" borderId="37" xfId="0" applyFont="1" applyFill="1" applyBorder="1" applyAlignment="1">
      <alignment horizontal="right"/>
    </xf>
    <xf numFmtId="37" fontId="19" fillId="6" borderId="37" xfId="0" applyNumberFormat="1" applyFont="1" applyFill="1" applyBorder="1" applyAlignment="1">
      <alignment horizontal="right"/>
    </xf>
    <xf numFmtId="37" fontId="19" fillId="6" borderId="37" xfId="0" applyNumberFormat="1" applyFont="1" applyFill="1" applyBorder="1" applyAlignment="1">
      <alignment horizontal="center"/>
    </xf>
    <xf numFmtId="164" fontId="0" fillId="0" borderId="39" xfId="0" applyNumberFormat="1" applyBorder="1"/>
    <xf numFmtId="164" fontId="0" fillId="0" borderId="40" xfId="0" applyNumberFormat="1" applyBorder="1"/>
    <xf numFmtId="37" fontId="0" fillId="0" borderId="41" xfId="0" applyNumberFormat="1" applyBorder="1"/>
    <xf numFmtId="37" fontId="12" fillId="0" borderId="43" xfId="0" applyNumberFormat="1" applyFont="1" applyBorder="1" applyAlignment="1">
      <alignment horizontal="right"/>
    </xf>
    <xf numFmtId="37" fontId="5" fillId="0" borderId="44" xfId="0" applyNumberFormat="1" applyFont="1" applyBorder="1" applyAlignment="1">
      <alignment horizontal="center"/>
    </xf>
    <xf numFmtId="37" fontId="12" fillId="0" borderId="44" xfId="0" applyNumberFormat="1" applyFont="1" applyBorder="1"/>
    <xf numFmtId="37" fontId="0" fillId="0" borderId="44" xfId="0" applyNumberFormat="1" applyBorder="1"/>
    <xf numFmtId="37" fontId="5" fillId="0" borderId="43" xfId="0" applyNumberFormat="1" applyFont="1" applyBorder="1" applyAlignment="1">
      <alignment horizontal="right"/>
    </xf>
    <xf numFmtId="37" fontId="0" fillId="0" borderId="46" xfId="0" applyNumberFormat="1" applyBorder="1"/>
    <xf numFmtId="37" fontId="12" fillId="0" borderId="47" xfId="0" applyNumberFormat="1" applyFont="1" applyBorder="1"/>
    <xf numFmtId="37" fontId="12" fillId="0" borderId="47" xfId="0" applyNumberFormat="1" applyFont="1" applyFill="1" applyBorder="1" applyAlignment="1">
      <alignment horizontal="right"/>
    </xf>
    <xf numFmtId="37" fontId="12" fillId="0" borderId="47" xfId="0" applyNumberFormat="1" applyFont="1" applyBorder="1" applyAlignment="1">
      <alignment horizontal="right"/>
    </xf>
    <xf numFmtId="164" fontId="12" fillId="5" borderId="39" xfId="0" applyNumberFormat="1" applyFont="1" applyFill="1" applyBorder="1" applyAlignment="1">
      <alignment horizontal="right"/>
    </xf>
    <xf numFmtId="0" fontId="0" fillId="5" borderId="35" xfId="0" applyFill="1" applyBorder="1"/>
    <xf numFmtId="0" fontId="3" fillId="5" borderId="35" xfId="0" applyFont="1" applyFill="1" applyBorder="1"/>
    <xf numFmtId="0" fontId="3" fillId="5" borderId="35" xfId="0" applyFont="1" applyFill="1" applyBorder="1" applyAlignment="1">
      <alignment horizontal="center"/>
    </xf>
    <xf numFmtId="165" fontId="15" fillId="5" borderId="35" xfId="0" applyNumberFormat="1" applyFont="1" applyFill="1" applyBorder="1" applyAlignment="1">
      <alignment horizontal="center"/>
    </xf>
    <xf numFmtId="37" fontId="0" fillId="5" borderId="35" xfId="0" applyNumberFormat="1" applyFill="1" applyBorder="1"/>
    <xf numFmtId="37" fontId="12" fillId="5" borderId="43" xfId="0" applyNumberFormat="1" applyFont="1" applyFill="1" applyBorder="1" applyAlignment="1">
      <alignment horizontal="right"/>
    </xf>
    <xf numFmtId="37" fontId="0" fillId="5" borderId="44" xfId="0" applyNumberFormat="1" applyFill="1" applyBorder="1"/>
    <xf numFmtId="37" fontId="12" fillId="5" borderId="47" xfId="0" applyNumberFormat="1" applyFont="1" applyFill="1" applyBorder="1"/>
    <xf numFmtId="0" fontId="16" fillId="5" borderId="35" xfId="0" applyFont="1" applyFill="1" applyBorder="1" applyAlignment="1">
      <alignment horizontal="center"/>
    </xf>
    <xf numFmtId="0" fontId="12" fillId="16" borderId="35" xfId="0" applyFont="1" applyFill="1" applyBorder="1" applyAlignment="1">
      <alignment horizontal="center"/>
    </xf>
    <xf numFmtId="37" fontId="12" fillId="5" borderId="35" xfId="0" applyNumberFormat="1" applyFont="1" applyFill="1" applyBorder="1"/>
    <xf numFmtId="37" fontId="12" fillId="0" borderId="35" xfId="0" applyNumberFormat="1" applyFont="1" applyBorder="1" applyAlignment="1">
      <alignment horizontal="center"/>
    </xf>
    <xf numFmtId="37" fontId="23" fillId="6" borderId="37" xfId="0" applyNumberFormat="1" applyFont="1" applyFill="1" applyBorder="1" applyAlignment="1">
      <alignment horizontal="center"/>
    </xf>
    <xf numFmtId="37" fontId="11" fillId="6" borderId="37" xfId="0" applyNumberFormat="1" applyFont="1" applyFill="1" applyBorder="1" applyAlignment="1">
      <alignment horizontal="center"/>
    </xf>
    <xf numFmtId="37" fontId="19" fillId="6" borderId="38" xfId="0" applyNumberFormat="1" applyFont="1" applyFill="1" applyBorder="1" applyAlignment="1">
      <alignment horizontal="right"/>
    </xf>
    <xf numFmtId="37" fontId="5" fillId="0" borderId="45" xfId="0" applyNumberFormat="1" applyFont="1" applyBorder="1" applyAlignment="1">
      <alignment horizontal="right"/>
    </xf>
    <xf numFmtId="37" fontId="12" fillId="17" borderId="50" xfId="0" applyNumberFormat="1" applyFont="1" applyFill="1" applyBorder="1" applyAlignment="1">
      <alignment horizontal="left"/>
    </xf>
    <xf numFmtId="37" fontId="0" fillId="17" borderId="50" xfId="0" applyNumberFormat="1" applyFill="1" applyBorder="1"/>
    <xf numFmtId="37" fontId="0" fillId="17" borderId="51" xfId="0" applyNumberFormat="1" applyFill="1" applyBorder="1"/>
    <xf numFmtId="37" fontId="12" fillId="0" borderId="48" xfId="0" applyNumberFormat="1" applyFont="1" applyBorder="1" applyAlignment="1">
      <alignment horizontal="right"/>
    </xf>
    <xf numFmtId="37" fontId="12" fillId="0" borderId="49" xfId="0" applyNumberFormat="1" applyFont="1" applyBorder="1"/>
    <xf numFmtId="37" fontId="12" fillId="17" borderId="52" xfId="0" applyNumberFormat="1" applyFont="1" applyFill="1" applyBorder="1" applyAlignment="1">
      <alignment horizontal="left"/>
    </xf>
    <xf numFmtId="37" fontId="2" fillId="6" borderId="41" xfId="0" applyNumberFormat="1" applyFont="1" applyFill="1" applyBorder="1" applyAlignment="1">
      <alignment horizontal="center"/>
    </xf>
    <xf numFmtId="37" fontId="18" fillId="6" borderId="41" xfId="0" applyNumberFormat="1" applyFont="1" applyFill="1" applyBorder="1" applyAlignment="1">
      <alignment horizontal="center"/>
    </xf>
    <xf numFmtId="37" fontId="2" fillId="6" borderId="42" xfId="0" applyNumberFormat="1" applyFont="1" applyFill="1" applyBorder="1" applyAlignment="1">
      <alignment horizontal="center"/>
    </xf>
    <xf numFmtId="0" fontId="30" fillId="9" borderId="0" xfId="0" applyNumberFormat="1" applyFont="1" applyFill="1" applyBorder="1" applyAlignment="1">
      <alignment horizontal="center" vertical="center" wrapText="1"/>
    </xf>
    <xf numFmtId="165" fontId="36" fillId="9" borderId="0" xfId="0" applyNumberFormat="1" applyFont="1" applyFill="1" applyAlignment="1">
      <alignment horizontal="center"/>
    </xf>
    <xf numFmtId="165" fontId="19" fillId="6" borderId="21" xfId="0" applyNumberFormat="1" applyFont="1" applyFill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/>
    </xf>
    <xf numFmtId="0" fontId="7" fillId="11" borderId="3" xfId="1" applyNumberFormat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7" fillId="0" borderId="29" xfId="1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8" fontId="7" fillId="0" borderId="31" xfId="1" applyNumberFormat="1" applyFont="1" applyFill="1" applyBorder="1" applyAlignment="1">
      <alignment horizontal="left"/>
    </xf>
    <xf numFmtId="165" fontId="7" fillId="0" borderId="3" xfId="0" applyNumberFormat="1" applyFont="1" applyFill="1" applyBorder="1" applyAlignment="1">
      <alignment horizontal="left"/>
    </xf>
    <xf numFmtId="165" fontId="6" fillId="0" borderId="3" xfId="0" applyNumberFormat="1" applyFont="1" applyFill="1" applyBorder="1" applyAlignment="1">
      <alignment horizontal="left"/>
    </xf>
    <xf numFmtId="49" fontId="7" fillId="0" borderId="30" xfId="1" applyNumberFormat="1" applyFont="1" applyFill="1" applyBorder="1" applyAlignment="1">
      <alignment horizontal="center"/>
    </xf>
    <xf numFmtId="0" fontId="7" fillId="0" borderId="29" xfId="1" applyNumberFormat="1" applyFont="1" applyFill="1" applyBorder="1" applyAlignment="1" applyProtection="1">
      <alignment horizontal="left"/>
    </xf>
    <xf numFmtId="0" fontId="7" fillId="0" borderId="31" xfId="1" applyNumberFormat="1" applyFont="1" applyFill="1" applyBorder="1" applyAlignment="1">
      <alignment horizontal="center"/>
    </xf>
    <xf numFmtId="49" fontId="7" fillId="0" borderId="6" xfId="1" applyNumberFormat="1" applyFont="1" applyFill="1" applyBorder="1" applyAlignment="1">
      <alignment horizontal="center"/>
    </xf>
    <xf numFmtId="168" fontId="6" fillId="0" borderId="5" xfId="1" applyNumberFormat="1" applyFont="1" applyFill="1" applyBorder="1" applyAlignment="1">
      <alignment horizontal="left"/>
    </xf>
    <xf numFmtId="0" fontId="0" fillId="19" borderId="35" xfId="0" applyFill="1" applyBorder="1"/>
    <xf numFmtId="37" fontId="0" fillId="19" borderId="35" xfId="0" applyNumberFormat="1" applyFill="1" applyBorder="1"/>
    <xf numFmtId="0" fontId="7" fillId="0" borderId="3" xfId="0" applyFont="1" applyFill="1" applyBorder="1" applyAlignment="1">
      <alignment horizontal="left"/>
    </xf>
    <xf numFmtId="0" fontId="2" fillId="9" borderId="0" xfId="0" applyFont="1" applyFill="1" applyAlignment="1">
      <alignment horizontal="center"/>
    </xf>
    <xf numFmtId="0" fontId="0" fillId="0" borderId="0" xfId="0" applyFill="1"/>
    <xf numFmtId="168" fontId="7" fillId="0" borderId="29" xfId="1" applyNumberFormat="1" applyFont="1" applyFill="1" applyBorder="1" applyAlignment="1" applyProtection="1">
      <alignment horizontal="left"/>
    </xf>
    <xf numFmtId="168" fontId="7" fillId="0" borderId="5" xfId="1" applyNumberFormat="1" applyFont="1" applyFill="1" applyBorder="1" applyAlignment="1" applyProtection="1">
      <alignment horizontal="left"/>
    </xf>
    <xf numFmtId="0" fontId="7" fillId="0" borderId="30" xfId="1" applyNumberFormat="1" applyFont="1" applyFill="1" applyBorder="1" applyAlignment="1" applyProtection="1">
      <alignment horizontal="left"/>
    </xf>
    <xf numFmtId="0" fontId="41" fillId="12" borderId="29" xfId="1" applyNumberFormat="1" applyFont="1" applyFill="1" applyBorder="1" applyAlignment="1" applyProtection="1">
      <alignment horizontal="center"/>
    </xf>
    <xf numFmtId="0" fontId="2" fillId="21" borderId="29" xfId="1" applyNumberFormat="1" applyFont="1" applyFill="1" applyBorder="1" applyAlignment="1" applyProtection="1">
      <alignment horizontal="center"/>
    </xf>
    <xf numFmtId="0" fontId="42" fillId="11" borderId="29" xfId="1" applyFont="1" applyFill="1" applyBorder="1" applyAlignment="1" applyProtection="1">
      <alignment horizontal="center"/>
    </xf>
    <xf numFmtId="0" fontId="2" fillId="14" borderId="5" xfId="1" applyNumberFormat="1" applyFont="1" applyFill="1" applyBorder="1" applyAlignment="1" applyProtection="1">
      <alignment horizontal="center"/>
    </xf>
    <xf numFmtId="0" fontId="2" fillId="6" borderId="5" xfId="1" applyNumberFormat="1" applyFont="1" applyFill="1" applyBorder="1" applyAlignment="1" applyProtection="1">
      <alignment horizontal="center"/>
    </xf>
    <xf numFmtId="0" fontId="41" fillId="12" borderId="5" xfId="1" applyNumberFormat="1" applyFont="1" applyFill="1" applyBorder="1" applyAlignment="1" applyProtection="1">
      <alignment horizontal="center"/>
    </xf>
    <xf numFmtId="0" fontId="2" fillId="20" borderId="5" xfId="1" applyNumberFormat="1" applyFont="1" applyFill="1" applyBorder="1" applyAlignment="1" applyProtection="1">
      <alignment horizontal="center"/>
    </xf>
    <xf numFmtId="0" fontId="2" fillId="21" borderId="5" xfId="1" applyNumberFormat="1" applyFont="1" applyFill="1" applyBorder="1" applyAlignment="1" applyProtection="1">
      <alignment horizontal="center"/>
    </xf>
    <xf numFmtId="0" fontId="42" fillId="11" borderId="5" xfId="1" applyFont="1" applyFill="1" applyBorder="1" applyAlignment="1" applyProtection="1">
      <alignment horizontal="center"/>
    </xf>
    <xf numFmtId="0" fontId="2" fillId="20" borderId="29" xfId="1" applyNumberFormat="1" applyFont="1" applyFill="1" applyBorder="1" applyAlignment="1">
      <alignment horizontal="center"/>
    </xf>
    <xf numFmtId="0" fontId="7" fillId="11" borderId="29" xfId="1" applyNumberFormat="1" applyFont="1" applyFill="1" applyBorder="1" applyAlignment="1" applyProtection="1">
      <alignment horizontal="center"/>
    </xf>
    <xf numFmtId="0" fontId="7" fillId="11" borderId="29" xfId="1" applyNumberFormat="1" applyFont="1" applyFill="1" applyBorder="1" applyAlignment="1" applyProtection="1">
      <alignment horizontal="left"/>
    </xf>
    <xf numFmtId="0" fontId="2" fillId="14" borderId="29" xfId="1" applyNumberFormat="1" applyFont="1" applyFill="1" applyBorder="1" applyAlignment="1">
      <alignment horizontal="center"/>
    </xf>
    <xf numFmtId="0" fontId="7" fillId="0" borderId="31" xfId="1" applyNumberFormat="1" applyFont="1" applyFill="1" applyBorder="1" applyAlignment="1" applyProtection="1">
      <alignment horizontal="center"/>
    </xf>
    <xf numFmtId="0" fontId="9" fillId="12" borderId="29" xfId="1" applyNumberFormat="1" applyFont="1" applyFill="1" applyBorder="1" applyAlignment="1">
      <alignment horizontal="center"/>
    </xf>
    <xf numFmtId="168" fontId="7" fillId="11" borderId="29" xfId="1" applyNumberFormat="1" applyFont="1" applyFill="1" applyBorder="1" applyAlignment="1" applyProtection="1">
      <alignment horizontal="left"/>
    </xf>
    <xf numFmtId="168" fontId="7" fillId="0" borderId="29" xfId="1" applyNumberFormat="1" applyFont="1" applyFill="1" applyBorder="1" applyAlignment="1">
      <alignment horizontal="left"/>
    </xf>
    <xf numFmtId="0" fontId="2" fillId="6" borderId="6" xfId="1" applyNumberFormat="1" applyFont="1" applyFill="1" applyBorder="1" applyAlignment="1" applyProtection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right"/>
    </xf>
    <xf numFmtId="0" fontId="35" fillId="0" borderId="3" xfId="6" applyFont="1" applyFill="1" applyBorder="1" applyAlignment="1" applyProtection="1">
      <alignment horizontal="center"/>
    </xf>
    <xf numFmtId="0" fontId="0" fillId="9" borderId="0" xfId="0" applyFill="1"/>
    <xf numFmtId="0" fontId="18" fillId="6" borderId="53" xfId="0" applyFont="1" applyFill="1" applyBorder="1" applyAlignment="1">
      <alignment horizontal="center"/>
    </xf>
    <xf numFmtId="0" fontId="7" fillId="0" borderId="29" xfId="0" applyFont="1" applyFill="1" applyBorder="1"/>
    <xf numFmtId="1" fontId="7" fillId="0" borderId="29" xfId="0" applyNumberFormat="1" applyFont="1" applyFill="1" applyBorder="1" applyAlignment="1">
      <alignment horizontal="left"/>
    </xf>
    <xf numFmtId="0" fontId="7" fillId="0" borderId="5" xfId="1" applyFont="1" applyFill="1" applyBorder="1" applyAlignment="1" applyProtection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30" xfId="1" applyFont="1" applyFill="1" applyBorder="1" applyAlignment="1" applyProtection="1">
      <alignment horizontal="center"/>
    </xf>
    <xf numFmtId="0" fontId="7" fillId="0" borderId="30" xfId="1" applyNumberFormat="1" applyFont="1" applyFill="1" applyBorder="1" applyAlignment="1" applyProtection="1">
      <alignment horizontal="center"/>
    </xf>
    <xf numFmtId="0" fontId="7" fillId="0" borderId="29" xfId="0" applyFont="1" applyFill="1" applyBorder="1" applyAlignment="1">
      <alignment horizontal="left"/>
    </xf>
    <xf numFmtId="3" fontId="6" fillId="5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center"/>
    </xf>
    <xf numFmtId="3" fontId="6" fillId="5" borderId="33" xfId="0" applyNumberFormat="1" applyFont="1" applyFill="1" applyBorder="1" applyAlignment="1">
      <alignment horizontal="right"/>
    </xf>
    <xf numFmtId="3" fontId="7" fillId="5" borderId="31" xfId="1" applyNumberFormat="1" applyFont="1" applyFill="1" applyBorder="1" applyAlignment="1">
      <alignment horizontal="right"/>
    </xf>
    <xf numFmtId="3" fontId="6" fillId="18" borderId="31" xfId="1" applyNumberFormat="1" applyFont="1" applyFill="1" applyBorder="1" applyAlignment="1">
      <alignment horizontal="right"/>
    </xf>
    <xf numFmtId="3" fontId="6" fillId="5" borderId="31" xfId="1" applyNumberFormat="1" applyFont="1" applyFill="1" applyBorder="1" applyAlignment="1">
      <alignment horizontal="right"/>
    </xf>
    <xf numFmtId="3" fontId="7" fillId="5" borderId="29" xfId="1" applyNumberFormat="1" applyFont="1" applyFill="1" applyBorder="1" applyAlignment="1" applyProtection="1">
      <alignment horizontal="right"/>
    </xf>
    <xf numFmtId="3" fontId="7" fillId="18" borderId="29" xfId="1" applyNumberFormat="1" applyFont="1" applyFill="1" applyBorder="1" applyAlignment="1" applyProtection="1">
      <alignment horizontal="right"/>
    </xf>
    <xf numFmtId="3" fontId="7" fillId="5" borderId="29" xfId="1" applyNumberFormat="1" applyFont="1" applyFill="1" applyBorder="1" applyAlignment="1" applyProtection="1">
      <alignment horizontal="center"/>
    </xf>
    <xf numFmtId="3" fontId="7" fillId="5" borderId="29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7" fillId="5" borderId="29" xfId="0" applyNumberFormat="1" applyFont="1" applyFill="1" applyBorder="1" applyAlignment="1">
      <alignment horizontal="center"/>
    </xf>
    <xf numFmtId="169" fontId="6" fillId="0" borderId="5" xfId="0" applyNumberFormat="1" applyFont="1" applyFill="1" applyBorder="1" applyAlignment="1">
      <alignment horizontal="left"/>
    </xf>
    <xf numFmtId="0" fontId="35" fillId="0" borderId="3" xfId="6" applyFont="1" applyFill="1" applyBorder="1" applyAlignment="1" applyProtection="1">
      <alignment horizontal="left"/>
    </xf>
    <xf numFmtId="167" fontId="6" fillId="0" borderId="3" xfId="0" applyNumberFormat="1" applyFont="1" applyFill="1" applyBorder="1" applyAlignment="1">
      <alignment horizontal="left"/>
    </xf>
    <xf numFmtId="49" fontId="6" fillId="0" borderId="3" xfId="1" applyNumberFormat="1" applyFont="1" applyFill="1" applyBorder="1" applyAlignment="1">
      <alignment horizontal="left"/>
    </xf>
    <xf numFmtId="49" fontId="6" fillId="0" borderId="3" xfId="1" applyNumberFormat="1" applyFont="1" applyBorder="1" applyAlignment="1">
      <alignment horizontal="left"/>
    </xf>
    <xf numFmtId="49" fontId="6" fillId="5" borderId="3" xfId="1" applyNumberFormat="1" applyFont="1" applyFill="1" applyBorder="1" applyAlignment="1">
      <alignment horizontal="left"/>
    </xf>
    <xf numFmtId="49" fontId="6" fillId="11" borderId="3" xfId="1" applyNumberFormat="1" applyFont="1" applyFill="1" applyBorder="1" applyAlignment="1">
      <alignment horizontal="left"/>
    </xf>
    <xf numFmtId="167" fontId="6" fillId="5" borderId="3" xfId="0" applyNumberFormat="1" applyFont="1" applyFill="1" applyBorder="1" applyAlignment="1">
      <alignment horizontal="left"/>
    </xf>
    <xf numFmtId="167" fontId="6" fillId="5" borderId="3" xfId="0" quotePrefix="1" applyNumberFormat="1" applyFont="1" applyFill="1" applyBorder="1" applyAlignment="1">
      <alignment horizontal="left"/>
    </xf>
    <xf numFmtId="49" fontId="6" fillId="5" borderId="3" xfId="1" quotePrefix="1" applyNumberFormat="1" applyFont="1" applyFill="1" applyBorder="1" applyAlignment="1">
      <alignment horizontal="left"/>
    </xf>
    <xf numFmtId="49" fontId="6" fillId="0" borderId="29" xfId="1" applyNumberFormat="1" applyFont="1" applyFill="1" applyBorder="1" applyAlignment="1">
      <alignment horizontal="left"/>
    </xf>
    <xf numFmtId="49" fontId="6" fillId="0" borderId="31" xfId="1" applyNumberFormat="1" applyFont="1" applyFill="1" applyBorder="1" applyAlignment="1">
      <alignment horizontal="left"/>
    </xf>
    <xf numFmtId="49" fontId="6" fillId="0" borderId="29" xfId="1" applyNumberFormat="1" applyFont="1" applyFill="1" applyBorder="1" applyAlignment="1" applyProtection="1">
      <alignment horizontal="left"/>
    </xf>
    <xf numFmtId="49" fontId="6" fillId="0" borderId="6" xfId="1" applyNumberFormat="1" applyFont="1" applyFill="1" applyBorder="1" applyAlignment="1" applyProtection="1">
      <alignment horizontal="left"/>
    </xf>
    <xf numFmtId="49" fontId="6" fillId="11" borderId="29" xfId="1" applyNumberFormat="1" applyFont="1" applyFill="1" applyBorder="1" applyAlignment="1" applyProtection="1">
      <alignment horizontal="left"/>
    </xf>
    <xf numFmtId="1" fontId="7" fillId="0" borderId="3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65" fontId="11" fillId="6" borderId="21" xfId="0" applyNumberFormat="1" applyFont="1" applyFill="1" applyBorder="1" applyAlignment="1">
      <alignment horizontal="right" vertical="center"/>
    </xf>
    <xf numFmtId="0" fontId="7" fillId="5" borderId="0" xfId="0" applyFont="1" applyFill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Border="1" applyAlignment="1">
      <alignment horizontal="left"/>
    </xf>
    <xf numFmtId="0" fontId="7" fillId="0" borderId="56" xfId="1" applyFont="1" applyFill="1" applyBorder="1" applyAlignment="1" applyProtection="1">
      <alignment horizontal="center"/>
    </xf>
    <xf numFmtId="0" fontId="7" fillId="0" borderId="57" xfId="0" applyFont="1" applyFill="1" applyBorder="1"/>
    <xf numFmtId="1" fontId="7" fillId="0" borderId="57" xfId="0" applyNumberFormat="1" applyFont="1" applyFill="1" applyBorder="1" applyAlignment="1">
      <alignment horizontal="left"/>
    </xf>
    <xf numFmtId="0" fontId="7" fillId="0" borderId="58" xfId="0" applyFont="1" applyFill="1" applyBorder="1" applyAlignment="1">
      <alignment horizontal="center"/>
    </xf>
    <xf numFmtId="0" fontId="7" fillId="0" borderId="58" xfId="1" applyFont="1" applyFill="1" applyBorder="1" applyAlignment="1" applyProtection="1">
      <alignment horizontal="center"/>
    </xf>
    <xf numFmtId="0" fontId="7" fillId="0" borderId="58" xfId="1" applyNumberFormat="1" applyFont="1" applyFill="1" applyBorder="1" applyAlignment="1">
      <alignment horizontal="center"/>
    </xf>
    <xf numFmtId="0" fontId="9" fillId="0" borderId="58" xfId="1" applyNumberFormat="1" applyFont="1" applyFill="1" applyBorder="1" applyAlignment="1">
      <alignment horizontal="center"/>
    </xf>
    <xf numFmtId="0" fontId="7" fillId="0" borderId="58" xfId="1" applyNumberFormat="1" applyFont="1" applyFill="1" applyBorder="1" applyAlignment="1" applyProtection="1">
      <alignment horizontal="center"/>
    </xf>
    <xf numFmtId="0" fontId="9" fillId="0" borderId="59" xfId="1" applyNumberFormat="1" applyFont="1" applyFill="1" applyBorder="1" applyAlignment="1">
      <alignment horizontal="center"/>
    </xf>
    <xf numFmtId="0" fontId="7" fillId="0" borderId="32" xfId="0" applyFont="1" applyFill="1" applyBorder="1"/>
    <xf numFmtId="1" fontId="7" fillId="0" borderId="32" xfId="0" applyNumberFormat="1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169" fontId="6" fillId="0" borderId="60" xfId="0" applyNumberFormat="1" applyFont="1" applyFill="1" applyBorder="1" applyAlignment="1">
      <alignment horizontal="left"/>
    </xf>
    <xf numFmtId="169" fontId="6" fillId="0" borderId="61" xfId="0" applyNumberFormat="1" applyFont="1" applyFill="1" applyBorder="1" applyAlignment="1">
      <alignment horizontal="left"/>
    </xf>
    <xf numFmtId="169" fontId="6" fillId="0" borderId="61" xfId="0" applyNumberFormat="1" applyFont="1" applyFill="1" applyBorder="1" applyAlignment="1">
      <alignment horizontal="center"/>
    </xf>
    <xf numFmtId="169" fontId="6" fillId="0" borderId="62" xfId="0" applyNumberFormat="1" applyFont="1" applyFill="1" applyBorder="1" applyAlignment="1">
      <alignment horizontal="left"/>
    </xf>
    <xf numFmtId="169" fontId="6" fillId="0" borderId="0" xfId="0" applyNumberFormat="1" applyFont="1" applyFill="1" applyAlignment="1">
      <alignment horizontal="left"/>
    </xf>
    <xf numFmtId="0" fontId="7" fillId="0" borderId="60" xfId="0" applyFont="1" applyFill="1" applyBorder="1" applyAlignment="1">
      <alignment horizontal="center"/>
    </xf>
    <xf numFmtId="0" fontId="7" fillId="0" borderId="61" xfId="0" applyFont="1" applyFill="1" applyBorder="1" applyAlignment="1">
      <alignment horizontal="center"/>
    </xf>
    <xf numFmtId="0" fontId="7" fillId="0" borderId="62" xfId="0" applyFont="1" applyFill="1" applyBorder="1" applyAlignment="1">
      <alignment horizontal="center"/>
    </xf>
    <xf numFmtId="49" fontId="6" fillId="0" borderId="0" xfId="1" applyNumberFormat="1" applyFont="1" applyFill="1" applyBorder="1" applyAlignment="1" applyProtection="1">
      <alignment horizontal="left"/>
    </xf>
    <xf numFmtId="0" fontId="7" fillId="0" borderId="56" xfId="0" applyFont="1" applyFill="1" applyBorder="1" applyAlignment="1">
      <alignment horizontal="center"/>
    </xf>
    <xf numFmtId="0" fontId="7" fillId="0" borderId="59" xfId="1" applyFont="1" applyFill="1" applyBorder="1" applyAlignment="1" applyProtection="1">
      <alignment horizontal="center"/>
    </xf>
    <xf numFmtId="0" fontId="7" fillId="0" borderId="0" xfId="1" applyNumberFormat="1" applyFont="1" applyFill="1" applyBorder="1" applyAlignment="1" applyProtection="1">
      <alignment horizontal="left"/>
    </xf>
    <xf numFmtId="3" fontId="0" fillId="0" borderId="0" xfId="0" applyNumberFormat="1"/>
    <xf numFmtId="3" fontId="0" fillId="11" borderId="56" xfId="0" applyNumberFormat="1" applyFill="1" applyBorder="1"/>
    <xf numFmtId="0" fontId="0" fillId="11" borderId="57" xfId="0" applyFill="1" applyBorder="1"/>
    <xf numFmtId="0" fontId="0" fillId="11" borderId="63" xfId="0" applyFill="1" applyBorder="1"/>
    <xf numFmtId="3" fontId="0" fillId="11" borderId="58" xfId="0" applyNumberFormat="1" applyFill="1" applyBorder="1"/>
    <xf numFmtId="0" fontId="0" fillId="11" borderId="0" xfId="0" applyFill="1" applyBorder="1"/>
    <xf numFmtId="0" fontId="0" fillId="11" borderId="22" xfId="0" applyFill="1" applyBorder="1"/>
    <xf numFmtId="3" fontId="0" fillId="11" borderId="59" xfId="0" applyNumberFormat="1" applyFill="1" applyBorder="1"/>
    <xf numFmtId="0" fontId="0" fillId="11" borderId="32" xfId="0" applyFill="1" applyBorder="1"/>
    <xf numFmtId="0" fontId="0" fillId="11" borderId="64" xfId="0" applyFill="1" applyBorder="1"/>
    <xf numFmtId="169" fontId="7" fillId="0" borderId="22" xfId="0" applyNumberFormat="1" applyFont="1" applyFill="1" applyBorder="1" applyAlignment="1">
      <alignment horizontal="left"/>
    </xf>
    <xf numFmtId="169" fontId="7" fillId="0" borderId="64" xfId="0" applyNumberFormat="1" applyFont="1" applyFill="1" applyBorder="1" applyAlignment="1">
      <alignment horizontal="left"/>
    </xf>
    <xf numFmtId="1" fontId="7" fillId="0" borderId="0" xfId="0" applyNumberFormat="1" applyFont="1" applyFill="1" applyAlignment="1">
      <alignment horizontal="left"/>
    </xf>
    <xf numFmtId="0" fontId="7" fillId="0" borderId="59" xfId="0" applyFont="1" applyFill="1" applyBorder="1" applyAlignment="1">
      <alignment horizontal="center"/>
    </xf>
    <xf numFmtId="165" fontId="40" fillId="14" borderId="54" xfId="0" applyNumberFormat="1" applyFont="1" applyFill="1" applyBorder="1" applyAlignment="1">
      <alignment horizontal="center" vertical="center"/>
    </xf>
    <xf numFmtId="165" fontId="40" fillId="14" borderId="55" xfId="0" applyNumberFormat="1" applyFont="1" applyFill="1" applyBorder="1" applyAlignment="1">
      <alignment horizontal="center" vertical="center"/>
    </xf>
    <xf numFmtId="0" fontId="31" fillId="9" borderId="0" xfId="0" applyNumberFormat="1" applyFont="1" applyFill="1" applyBorder="1" applyAlignment="1">
      <alignment horizontal="left" vertical="center" wrapText="1"/>
    </xf>
    <xf numFmtId="166" fontId="32" fillId="9" borderId="0" xfId="0" applyNumberFormat="1" applyFont="1" applyFill="1" applyAlignment="1">
      <alignment horizontal="right" vertical="center"/>
    </xf>
    <xf numFmtId="166" fontId="32" fillId="9" borderId="0" xfId="0" applyNumberFormat="1" applyFont="1" applyFill="1" applyAlignment="1">
      <alignment horizontal="center" vertical="center"/>
    </xf>
    <xf numFmtId="166" fontId="32" fillId="9" borderId="19" xfId="0" applyNumberFormat="1" applyFont="1" applyFill="1" applyBorder="1" applyAlignment="1">
      <alignment horizontal="center" vertical="center"/>
    </xf>
    <xf numFmtId="37" fontId="33" fillId="9" borderId="0" xfId="0" applyNumberFormat="1" applyFont="1" applyFill="1" applyAlignment="1">
      <alignment horizontal="left" vertical="center"/>
    </xf>
    <xf numFmtId="37" fontId="33" fillId="9" borderId="19" xfId="0" applyNumberFormat="1" applyFont="1" applyFill="1" applyBorder="1" applyAlignment="1">
      <alignment horizontal="left" vertical="center"/>
    </xf>
    <xf numFmtId="1" fontId="36" fillId="9" borderId="0" xfId="0" applyNumberFormat="1" applyFont="1" applyFill="1" applyAlignment="1">
      <alignment horizontal="left" vertical="center"/>
    </xf>
    <xf numFmtId="1" fontId="36" fillId="9" borderId="0" xfId="0" applyNumberFormat="1" applyFont="1" applyFill="1" applyAlignment="1">
      <alignment horizontal="center" vertical="center"/>
    </xf>
    <xf numFmtId="1" fontId="36" fillId="9" borderId="19" xfId="0" applyNumberFormat="1" applyFont="1" applyFill="1" applyBorder="1" applyAlignment="1">
      <alignment horizontal="left" vertical="center"/>
    </xf>
    <xf numFmtId="1" fontId="36" fillId="9" borderId="19" xfId="0" applyNumberFormat="1" applyFont="1" applyFill="1" applyBorder="1" applyAlignment="1">
      <alignment horizontal="center" vertical="center"/>
    </xf>
    <xf numFmtId="165" fontId="36" fillId="9" borderId="0" xfId="0" applyNumberFormat="1" applyFont="1" applyFill="1" applyAlignment="1">
      <alignment horizontal="right" vertical="center"/>
    </xf>
    <xf numFmtId="165" fontId="36" fillId="9" borderId="19" xfId="0" applyNumberFormat="1" applyFont="1" applyFill="1" applyBorder="1" applyAlignment="1">
      <alignment horizontal="right" vertical="center"/>
    </xf>
    <xf numFmtId="164" fontId="24" fillId="6" borderId="36" xfId="0" applyNumberFormat="1" applyFont="1" applyFill="1" applyBorder="1" applyAlignment="1">
      <alignment horizontal="center"/>
    </xf>
    <xf numFmtId="164" fontId="24" fillId="6" borderId="37" xfId="0" applyNumberFormat="1" applyFont="1" applyFill="1" applyBorder="1" applyAlignment="1">
      <alignment horizontal="center"/>
    </xf>
  </cellXfs>
  <cellStyles count="8">
    <cellStyle name="Hyperlink" xfId="6" builtinId="8"/>
    <cellStyle name="Normal" xfId="0" builtinId="0"/>
    <cellStyle name="Normal 2" xfId="2"/>
    <cellStyle name="Normal 2 2" xfId="1"/>
    <cellStyle name="Normal 2 2 2" xfId="3"/>
    <cellStyle name="Normal 2 2 2 2" xfId="7"/>
    <cellStyle name="Normal 3" xfId="4"/>
    <cellStyle name="Normal 4" xfId="5"/>
  </cellStyles>
  <dxfs count="11">
    <dxf>
      <alignment horizontal="right" vertical="bottom" textRotation="0" wrapText="0" indent="0" relativeIndent="0" justifyLastLine="0" shrinkToFit="0" mergeCell="0" readingOrder="0"/>
    </dxf>
    <dxf>
      <numFmt numFmtId="165" formatCode="#,##0;[Red]#,##0"/>
      <alignment horizontal="right" vertical="bottom" textRotation="0" wrapText="0" indent="0" relativeIndent="0" justifyLastLine="0" shrinkToFit="0" mergeCell="0" readingOrder="0"/>
    </dxf>
    <dxf>
      <alignment horizontal="right" vertical="bottom" textRotation="0" wrapText="0" indent="0" relativeIndent="0" justifyLastLine="0" shrinkToFit="0" mergeCell="0" readingOrder="0"/>
    </dxf>
    <dxf>
      <numFmt numFmtId="3" formatCode="#,##0"/>
      <alignment horizontal="right" vertical="bottom" textRotation="0" wrapText="0" indent="0" relativeIndent="0" justifyLastLine="0" shrinkToFit="0" mergeCell="0" readingOrder="0"/>
    </dxf>
    <dxf>
      <numFmt numFmtId="165" formatCode="#,##0;[Red]#,##0"/>
      <alignment horizontal="center" vertical="bottom" textRotation="0" wrapText="0" indent="0" relativeIndent="0" justifyLastLine="0" shrinkToFit="0" mergeCell="0" readingOrder="0"/>
    </dxf>
    <dxf>
      <alignment horizontal="left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6" formatCode="dd/mmm/yy\ ddd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165" formatCode="#,##0;[Red]#,##0"/>
      <fill>
        <patternFill patternType="solid">
          <fgColor indexed="64"/>
          <bgColor theme="1"/>
        </patternFill>
      </fill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B7:K404" totalsRowShown="0" headerRowDxfId="10">
  <autoFilter ref="B7:K404"/>
  <tableColumns count="10">
    <tableColumn id="1" name="DATE SALE" dataDxfId="9"/>
    <tableColumn id="2" name="Bill #" dataDxfId="8"/>
    <tableColumn id="3" name="BRAND" dataDxfId="7"/>
    <tableColumn id="4" name="Description" dataDxfId="6"/>
    <tableColumn id="5" name="IMEI #" dataDxfId="5"/>
    <tableColumn id="6" name="COLOR" dataDxfId="4"/>
    <tableColumn id="7" name="Dabit:" dataDxfId="3"/>
    <tableColumn id="8" name="Credit:" dataDxfId="2"/>
    <tableColumn id="9" name="Column1" dataDxfId="1"/>
    <tableColumn id="10" name="Balance: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AppData/Roaming/Microsoft/09%20SEP%202018/BALANCE%20SHEET%20S-AUTO+PRINT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2060"/>
  </sheetPr>
  <dimension ref="A1:R404"/>
  <sheetViews>
    <sheetView zoomScale="120" zoomScaleNormal="120" workbookViewId="0">
      <pane ySplit="7" topLeftCell="A309" activePane="bottomLeft" state="frozen"/>
      <selection pane="bottomLeft" activeCell="K306" sqref="K306"/>
    </sheetView>
  </sheetViews>
  <sheetFormatPr defaultColWidth="9.140625" defaultRowHeight="15.75"/>
  <cols>
    <col min="1" max="1" width="2.140625" style="8" customWidth="1"/>
    <col min="2" max="2" width="18.42578125" style="7" bestFit="1" customWidth="1"/>
    <col min="3" max="3" width="8.28515625" style="5" customWidth="1"/>
    <col min="4" max="4" width="11.140625" style="6" customWidth="1"/>
    <col min="5" max="5" width="17.5703125" style="5" customWidth="1"/>
    <col min="6" max="6" width="17.42578125" style="5" customWidth="1"/>
    <col min="7" max="7" width="12.28515625" style="221" customWidth="1"/>
    <col min="8" max="8" width="11.42578125" style="4" customWidth="1"/>
    <col min="9" max="9" width="11.28515625" style="3" customWidth="1"/>
    <col min="10" max="10" width="1.42578125" style="4" customWidth="1"/>
    <col min="11" max="11" width="13.5703125" style="3" customWidth="1"/>
    <col min="12" max="13" width="9.28515625" style="5" customWidth="1"/>
    <col min="14" max="14" width="2.85546875" style="2" customWidth="1"/>
    <col min="15" max="15" width="8.5703125" bestFit="1" customWidth="1"/>
    <col min="16" max="16" width="8.28515625" bestFit="1" customWidth="1"/>
    <col min="17" max="17" width="9.85546875" customWidth="1"/>
    <col min="18" max="18" width="5" customWidth="1"/>
    <col min="19" max="19" width="13.140625" customWidth="1"/>
    <col min="23" max="24" width="11.85546875" customWidth="1"/>
    <col min="25" max="25" width="8.140625" customWidth="1"/>
  </cols>
  <sheetData>
    <row r="1" spans="1:15">
      <c r="A1" s="88"/>
      <c r="B1" s="89"/>
      <c r="C1" s="90"/>
      <c r="D1" s="88"/>
      <c r="E1" s="89"/>
      <c r="F1" s="89"/>
      <c r="G1" s="89"/>
      <c r="H1" s="89"/>
      <c r="I1" s="91"/>
      <c r="J1" s="92"/>
      <c r="K1" s="91"/>
      <c r="L1" s="89"/>
      <c r="M1" s="89"/>
      <c r="N1" s="92"/>
    </row>
    <row r="2" spans="1:15" ht="15.75" customHeight="1">
      <c r="A2" s="88"/>
      <c r="B2" s="344" t="s">
        <v>46</v>
      </c>
      <c r="C2" s="344"/>
      <c r="D2" s="343" t="s">
        <v>36</v>
      </c>
      <c r="E2" s="343"/>
      <c r="F2" s="343"/>
      <c r="G2" s="93"/>
      <c r="H2" s="94"/>
      <c r="I2" s="95"/>
      <c r="J2" s="94"/>
      <c r="K2" s="95"/>
      <c r="L2" s="93"/>
      <c r="M2" s="93"/>
      <c r="N2" s="88"/>
    </row>
    <row r="3" spans="1:15" ht="26.25" customHeight="1">
      <c r="A3" s="88"/>
      <c r="B3" s="344"/>
      <c r="C3" s="344"/>
      <c r="D3" s="343"/>
      <c r="E3" s="343"/>
      <c r="F3" s="343"/>
      <c r="G3" s="214"/>
      <c r="H3" s="96"/>
      <c r="I3" s="96"/>
      <c r="J3" s="116"/>
      <c r="K3" s="116"/>
      <c r="L3" s="120"/>
      <c r="M3" s="120"/>
      <c r="N3" s="88"/>
    </row>
    <row r="4" spans="1:15" ht="15.75" customHeight="1">
      <c r="A4" s="88"/>
      <c r="B4" s="345" t="s">
        <v>45</v>
      </c>
      <c r="C4" s="345"/>
      <c r="D4" s="347">
        <f>G6</f>
        <v>-401890</v>
      </c>
      <c r="E4" s="347"/>
      <c r="F4" s="93"/>
      <c r="G4" s="215"/>
      <c r="H4" s="117"/>
      <c r="I4" s="353" t="s">
        <v>162</v>
      </c>
      <c r="J4" s="353"/>
      <c r="K4" s="349" t="s">
        <v>163</v>
      </c>
      <c r="L4" s="350"/>
      <c r="M4" s="122"/>
      <c r="N4" s="88"/>
    </row>
    <row r="5" spans="1:15" ht="16.5" customHeight="1" thickBot="1">
      <c r="A5" s="88"/>
      <c r="B5" s="346"/>
      <c r="C5" s="346"/>
      <c r="D5" s="348"/>
      <c r="E5" s="348"/>
      <c r="F5" s="93"/>
      <c r="G5" s="93"/>
      <c r="H5" s="94"/>
      <c r="I5" s="354"/>
      <c r="J5" s="354"/>
      <c r="K5" s="351"/>
      <c r="L5" s="352"/>
      <c r="M5" s="123"/>
      <c r="N5" s="88"/>
    </row>
    <row r="6" spans="1:15" ht="24" thickBot="1">
      <c r="A6" s="88"/>
      <c r="B6" s="85"/>
      <c r="C6" s="86"/>
      <c r="D6" s="86"/>
      <c r="E6" s="86"/>
      <c r="F6" s="87"/>
      <c r="G6" s="216">
        <f>-H6+I6</f>
        <v>-401890</v>
      </c>
      <c r="H6" s="79">
        <f>SUM(H8:H1839)</f>
        <v>6132365</v>
      </c>
      <c r="I6" s="297">
        <f>SUM(I8:I1839)</f>
        <v>5730475</v>
      </c>
      <c r="J6" s="61"/>
      <c r="K6" s="78">
        <f>SUM(H6:J6)</f>
        <v>11862840</v>
      </c>
      <c r="L6" s="341">
        <f>SUM(L8:L1943)</f>
        <v>3933520</v>
      </c>
      <c r="M6" s="342"/>
      <c r="N6" s="88"/>
      <c r="O6" s="78">
        <f>SUM(O8:O499)</f>
        <v>3000</v>
      </c>
    </row>
    <row r="7" spans="1:15" s="30" customFormat="1" ht="19.5" customHeight="1" thickBot="1">
      <c r="A7" s="88"/>
      <c r="B7" s="70" t="s">
        <v>33</v>
      </c>
      <c r="C7" s="69" t="s">
        <v>27</v>
      </c>
      <c r="D7" s="68" t="s">
        <v>32</v>
      </c>
      <c r="E7" s="68" t="s">
        <v>31</v>
      </c>
      <c r="F7" s="67" t="s">
        <v>30</v>
      </c>
      <c r="G7" s="66" t="s">
        <v>679</v>
      </c>
      <c r="H7" s="65" t="s">
        <v>23</v>
      </c>
      <c r="I7" s="65" t="s">
        <v>29</v>
      </c>
      <c r="J7" s="65" t="s">
        <v>645</v>
      </c>
      <c r="K7" s="64" t="s">
        <v>28</v>
      </c>
      <c r="L7" s="260" t="s">
        <v>28</v>
      </c>
      <c r="M7" s="260" t="s">
        <v>28</v>
      </c>
      <c r="N7" s="88"/>
    </row>
    <row r="8" spans="1:15" s="30" customFormat="1" ht="18.75">
      <c r="A8" s="88"/>
      <c r="B8" s="56">
        <v>43373</v>
      </c>
      <c r="C8" s="55"/>
      <c r="D8" s="54"/>
      <c r="E8" s="258" t="s">
        <v>22</v>
      </c>
      <c r="F8" s="281"/>
      <c r="G8" s="12"/>
      <c r="H8" s="268">
        <v>122310</v>
      </c>
      <c r="I8" s="9"/>
      <c r="J8" s="36"/>
      <c r="K8" s="10">
        <f>-H8+I8</f>
        <v>-122310</v>
      </c>
      <c r="L8" s="106"/>
      <c r="M8" s="106"/>
      <c r="N8" s="88"/>
    </row>
    <row r="9" spans="1:15" s="30" customFormat="1" ht="15">
      <c r="A9" s="88"/>
      <c r="B9" s="16"/>
      <c r="C9" s="15"/>
      <c r="D9" s="14"/>
      <c r="E9" s="13"/>
      <c r="F9" s="282"/>
      <c r="G9" s="12">
        <v>122310</v>
      </c>
      <c r="H9" s="268"/>
      <c r="I9" s="9"/>
      <c r="J9" s="11"/>
      <c r="K9" s="10">
        <f t="shared" ref="K9:K72" si="0">K8-H9+I9</f>
        <v>-122310</v>
      </c>
      <c r="L9" s="106"/>
      <c r="M9" s="106"/>
      <c r="N9" s="88"/>
    </row>
    <row r="10" spans="1:15" s="30" customFormat="1" ht="15">
      <c r="A10" s="88"/>
      <c r="B10" s="16">
        <v>43374</v>
      </c>
      <c r="C10" s="15" t="s">
        <v>50</v>
      </c>
      <c r="D10" s="19" t="s">
        <v>2</v>
      </c>
      <c r="E10" s="17" t="s">
        <v>6</v>
      </c>
      <c r="F10" s="283" t="s">
        <v>47</v>
      </c>
      <c r="G10" s="126" t="s">
        <v>1</v>
      </c>
      <c r="H10" s="268">
        <v>16150</v>
      </c>
      <c r="I10" s="9"/>
      <c r="J10" s="11"/>
      <c r="K10" s="10">
        <f t="shared" si="0"/>
        <v>-138460</v>
      </c>
      <c r="L10" s="106"/>
      <c r="M10" s="106"/>
      <c r="N10" s="88"/>
    </row>
    <row r="11" spans="1:15" s="30" customFormat="1" ht="15">
      <c r="A11" s="88"/>
      <c r="B11" s="16">
        <v>43374</v>
      </c>
      <c r="C11" s="15" t="s">
        <v>51</v>
      </c>
      <c r="D11" s="18" t="s">
        <v>0</v>
      </c>
      <c r="E11" s="17" t="s">
        <v>7</v>
      </c>
      <c r="F11" s="283" t="s">
        <v>48</v>
      </c>
      <c r="G11" s="126" t="s">
        <v>49</v>
      </c>
      <c r="H11" s="268">
        <v>24700</v>
      </c>
      <c r="I11" s="9"/>
      <c r="J11" s="11"/>
      <c r="K11" s="10">
        <f t="shared" si="0"/>
        <v>-163160</v>
      </c>
      <c r="L11" s="106"/>
      <c r="M11" s="106"/>
      <c r="N11" s="88"/>
    </row>
    <row r="12" spans="1:15" s="30" customFormat="1" ht="15">
      <c r="A12" s="88"/>
      <c r="B12" s="16">
        <v>43375</v>
      </c>
      <c r="C12" s="15" t="s">
        <v>56</v>
      </c>
      <c r="D12" s="18" t="s">
        <v>0</v>
      </c>
      <c r="E12" s="97" t="s">
        <v>53</v>
      </c>
      <c r="F12" s="284" t="s">
        <v>54</v>
      </c>
      <c r="G12" s="217" t="s">
        <v>55</v>
      </c>
      <c r="H12" s="268">
        <f>15200+50</f>
        <v>15250</v>
      </c>
      <c r="I12" s="9"/>
      <c r="J12" s="11"/>
      <c r="K12" s="10">
        <f t="shared" si="0"/>
        <v>-178410</v>
      </c>
      <c r="L12" s="106"/>
      <c r="M12" s="106"/>
      <c r="N12" s="88"/>
    </row>
    <row r="13" spans="1:15" s="30" customFormat="1" ht="15">
      <c r="A13" s="88"/>
      <c r="B13" s="16">
        <v>43377</v>
      </c>
      <c r="C13" s="15" t="s">
        <v>60</v>
      </c>
      <c r="D13" s="18" t="s">
        <v>0</v>
      </c>
      <c r="E13" s="17" t="s">
        <v>57</v>
      </c>
      <c r="F13" s="283" t="s">
        <v>58</v>
      </c>
      <c r="G13" s="98" t="s">
        <v>59</v>
      </c>
      <c r="H13" s="268">
        <v>30880</v>
      </c>
      <c r="I13" s="9"/>
      <c r="J13" s="11"/>
      <c r="K13" s="10">
        <f t="shared" si="0"/>
        <v>-209290</v>
      </c>
      <c r="L13" s="106"/>
      <c r="M13" s="106"/>
      <c r="N13" s="88"/>
    </row>
    <row r="14" spans="1:15" ht="15">
      <c r="A14" s="88"/>
      <c r="B14" s="16">
        <v>43379</v>
      </c>
      <c r="C14" s="15" t="s">
        <v>66</v>
      </c>
      <c r="D14" s="99" t="s">
        <v>2</v>
      </c>
      <c r="E14" s="17" t="s">
        <v>64</v>
      </c>
      <c r="F14" s="283" t="s">
        <v>65</v>
      </c>
      <c r="G14" s="126"/>
      <c r="H14" s="268">
        <v>29930</v>
      </c>
      <c r="I14" s="9"/>
      <c r="J14" s="11"/>
      <c r="K14" s="10">
        <f t="shared" si="0"/>
        <v>-239220</v>
      </c>
      <c r="N14" s="88"/>
    </row>
    <row r="15" spans="1:15" ht="15">
      <c r="A15" s="88"/>
      <c r="B15" s="16">
        <v>43108</v>
      </c>
      <c r="C15" s="15" t="s">
        <v>67</v>
      </c>
      <c r="D15" s="99" t="s">
        <v>61</v>
      </c>
      <c r="E15" s="17" t="s">
        <v>62</v>
      </c>
      <c r="F15" s="283" t="s">
        <v>63</v>
      </c>
      <c r="G15" s="126" t="s">
        <v>55</v>
      </c>
      <c r="H15" s="268">
        <f>8080+50</f>
        <v>8130</v>
      </c>
      <c r="I15" s="9"/>
      <c r="J15" s="11"/>
      <c r="K15" s="10">
        <f t="shared" si="0"/>
        <v>-247350</v>
      </c>
      <c r="N15" s="88"/>
    </row>
    <row r="16" spans="1:15" ht="15">
      <c r="A16" s="88"/>
      <c r="B16" s="100">
        <v>43384</v>
      </c>
      <c r="C16" s="101"/>
      <c r="D16" s="102"/>
      <c r="E16" s="103" t="s">
        <v>68</v>
      </c>
      <c r="F16" s="115">
        <f>5000*12+1000*82+500*72+100*3+10*2</f>
        <v>178320</v>
      </c>
      <c r="G16" s="102"/>
      <c r="H16" s="269"/>
      <c r="I16" s="9">
        <v>178320</v>
      </c>
      <c r="J16" s="11"/>
      <c r="K16" s="10">
        <f t="shared" si="0"/>
        <v>-69030</v>
      </c>
      <c r="N16" s="88"/>
    </row>
    <row r="17" spans="1:14" s="30" customFormat="1" ht="15">
      <c r="A17" s="88"/>
      <c r="B17" s="16">
        <v>43388</v>
      </c>
      <c r="C17" s="15" t="s">
        <v>72</v>
      </c>
      <c r="D17" s="104" t="s">
        <v>69</v>
      </c>
      <c r="E17" s="17" t="s">
        <v>70</v>
      </c>
      <c r="F17" s="283" t="s">
        <v>71</v>
      </c>
      <c r="G17" s="126" t="s">
        <v>59</v>
      </c>
      <c r="H17" s="268">
        <v>16800</v>
      </c>
      <c r="I17" s="9"/>
      <c r="J17" s="11"/>
      <c r="K17" s="10">
        <f t="shared" si="0"/>
        <v>-85830</v>
      </c>
      <c r="L17" s="106"/>
      <c r="M17" s="106"/>
      <c r="N17" s="88"/>
    </row>
    <row r="18" spans="1:14" ht="15">
      <c r="A18" s="88"/>
      <c r="B18" s="16">
        <v>43393</v>
      </c>
      <c r="C18" s="15" t="s">
        <v>73</v>
      </c>
      <c r="D18" s="18" t="s">
        <v>0</v>
      </c>
      <c r="E18" s="97" t="s">
        <v>74</v>
      </c>
      <c r="F18" s="283" t="s">
        <v>75</v>
      </c>
      <c r="G18" s="217" t="s">
        <v>55</v>
      </c>
      <c r="H18" s="268">
        <v>16150</v>
      </c>
      <c r="I18" s="9"/>
      <c r="J18" s="11"/>
      <c r="K18" s="10">
        <f t="shared" si="0"/>
        <v>-101980</v>
      </c>
      <c r="N18" s="88"/>
    </row>
    <row r="19" spans="1:14" ht="15">
      <c r="A19" s="88"/>
      <c r="B19" s="108">
        <v>43396</v>
      </c>
      <c r="C19" s="109" t="s">
        <v>77</v>
      </c>
      <c r="D19" s="110" t="s">
        <v>69</v>
      </c>
      <c r="E19" s="112" t="s">
        <v>70</v>
      </c>
      <c r="F19" s="285" t="s">
        <v>81</v>
      </c>
      <c r="G19" s="107" t="s">
        <v>114</v>
      </c>
      <c r="H19" s="268">
        <v>0</v>
      </c>
      <c r="I19" s="9"/>
      <c r="J19" s="11"/>
      <c r="K19" s="10">
        <f t="shared" si="0"/>
        <v>-101980</v>
      </c>
      <c r="N19" s="88"/>
    </row>
    <row r="20" spans="1:14" ht="15">
      <c r="A20" s="88"/>
      <c r="B20" s="16">
        <v>43404</v>
      </c>
      <c r="C20" s="15" t="s">
        <v>76</v>
      </c>
      <c r="D20" s="14" t="s">
        <v>69</v>
      </c>
      <c r="E20" s="105" t="s">
        <v>78</v>
      </c>
      <c r="F20" s="286" t="s">
        <v>79</v>
      </c>
      <c r="G20" s="218" t="s">
        <v>80</v>
      </c>
      <c r="H20" s="268">
        <v>20700</v>
      </c>
      <c r="I20" s="9"/>
      <c r="J20" s="11"/>
      <c r="K20" s="10">
        <f t="shared" si="0"/>
        <v>-122680</v>
      </c>
      <c r="N20" s="88"/>
    </row>
    <row r="21" spans="1:14" ht="15">
      <c r="A21" s="88"/>
      <c r="B21" s="16">
        <v>43409</v>
      </c>
      <c r="C21" s="15" t="s">
        <v>85</v>
      </c>
      <c r="D21" s="14" t="s">
        <v>69</v>
      </c>
      <c r="E21" s="17" t="s">
        <v>82</v>
      </c>
      <c r="F21" s="283" t="s">
        <v>83</v>
      </c>
      <c r="G21" s="126" t="s">
        <v>84</v>
      </c>
      <c r="H21" s="268">
        <v>37200</v>
      </c>
      <c r="I21" s="9"/>
      <c r="J21" s="11"/>
      <c r="K21" s="10">
        <f t="shared" si="0"/>
        <v>-159880</v>
      </c>
      <c r="N21" s="88"/>
    </row>
    <row r="22" spans="1:14" ht="15">
      <c r="A22" s="88"/>
      <c r="B22" s="16">
        <v>43411</v>
      </c>
      <c r="C22" s="15" t="s">
        <v>89</v>
      </c>
      <c r="D22" s="99" t="s">
        <v>61</v>
      </c>
      <c r="E22" s="17" t="s">
        <v>86</v>
      </c>
      <c r="F22" s="283" t="s">
        <v>87</v>
      </c>
      <c r="G22" s="126" t="s">
        <v>55</v>
      </c>
      <c r="H22" s="268">
        <v>8075</v>
      </c>
      <c r="I22" s="9"/>
      <c r="J22" s="11"/>
      <c r="K22" s="10">
        <f t="shared" si="0"/>
        <v>-167955</v>
      </c>
      <c r="N22" s="88"/>
    </row>
    <row r="23" spans="1:14" ht="15">
      <c r="A23" s="88"/>
      <c r="B23" s="16">
        <v>43412</v>
      </c>
      <c r="C23" s="15" t="s">
        <v>90</v>
      </c>
      <c r="D23" s="19" t="s">
        <v>2</v>
      </c>
      <c r="E23" s="17" t="s">
        <v>6</v>
      </c>
      <c r="F23" s="283" t="s">
        <v>88</v>
      </c>
      <c r="G23" s="126" t="s">
        <v>55</v>
      </c>
      <c r="H23" s="268">
        <v>16150</v>
      </c>
      <c r="I23" s="9"/>
      <c r="J23" s="11"/>
      <c r="K23" s="10">
        <f t="shared" si="0"/>
        <v>-184105</v>
      </c>
      <c r="N23" s="88"/>
    </row>
    <row r="24" spans="1:14" ht="15">
      <c r="A24" s="88"/>
      <c r="B24" s="16">
        <v>43421</v>
      </c>
      <c r="C24" s="15" t="s">
        <v>96</v>
      </c>
      <c r="D24" s="19" t="s">
        <v>2</v>
      </c>
      <c r="E24" s="17" t="s">
        <v>91</v>
      </c>
      <c r="F24" s="283" t="s">
        <v>92</v>
      </c>
      <c r="G24" s="126" t="s">
        <v>1</v>
      </c>
      <c r="H24" s="268">
        <v>26130</v>
      </c>
      <c r="I24" s="9"/>
      <c r="J24" s="11"/>
      <c r="K24" s="10">
        <f t="shared" si="0"/>
        <v>-210235</v>
      </c>
      <c r="N24" s="88"/>
    </row>
    <row r="25" spans="1:14" ht="15">
      <c r="A25" s="88"/>
      <c r="B25" s="16">
        <v>43421</v>
      </c>
      <c r="C25" s="15" t="s">
        <v>97</v>
      </c>
      <c r="D25" s="18" t="s">
        <v>0</v>
      </c>
      <c r="E25" s="17" t="s">
        <v>93</v>
      </c>
      <c r="F25" s="283" t="s">
        <v>94</v>
      </c>
      <c r="G25" s="126" t="s">
        <v>95</v>
      </c>
      <c r="H25" s="268">
        <f>31350+100</f>
        <v>31450</v>
      </c>
      <c r="I25" s="9"/>
      <c r="J25" s="11"/>
      <c r="K25" s="10">
        <f t="shared" si="0"/>
        <v>-241685</v>
      </c>
      <c r="N25" s="88"/>
    </row>
    <row r="26" spans="1:14" ht="15">
      <c r="A26" s="88"/>
      <c r="B26" s="100">
        <v>43428</v>
      </c>
      <c r="C26" s="101"/>
      <c r="D26" s="102"/>
      <c r="E26" s="103" t="s">
        <v>68</v>
      </c>
      <c r="F26" s="115">
        <f>1000*50</f>
        <v>50000</v>
      </c>
      <c r="G26" s="102"/>
      <c r="H26" s="269"/>
      <c r="I26" s="9">
        <v>50000</v>
      </c>
      <c r="J26" s="11"/>
      <c r="K26" s="10">
        <f t="shared" si="0"/>
        <v>-191685</v>
      </c>
      <c r="N26" s="88"/>
    </row>
    <row r="27" spans="1:14" ht="15">
      <c r="A27" s="88"/>
      <c r="B27" s="16">
        <v>43432</v>
      </c>
      <c r="C27" s="15" t="s">
        <v>100</v>
      </c>
      <c r="D27" s="18" t="s">
        <v>0</v>
      </c>
      <c r="E27" s="17" t="s">
        <v>93</v>
      </c>
      <c r="F27" s="283" t="s">
        <v>101</v>
      </c>
      <c r="G27" s="126" t="s">
        <v>95</v>
      </c>
      <c r="H27" s="268">
        <v>31350</v>
      </c>
      <c r="I27" s="9"/>
      <c r="J27" s="11"/>
      <c r="K27" s="10">
        <f t="shared" si="0"/>
        <v>-223035</v>
      </c>
      <c r="N27" s="88"/>
    </row>
    <row r="28" spans="1:14" ht="15">
      <c r="A28" s="88"/>
      <c r="B28" s="108">
        <v>43433</v>
      </c>
      <c r="C28" s="109" t="s">
        <v>105</v>
      </c>
      <c r="D28" s="110" t="s">
        <v>69</v>
      </c>
      <c r="E28" s="111" t="s">
        <v>70</v>
      </c>
      <c r="F28" s="287">
        <v>868631036566936</v>
      </c>
      <c r="G28" s="107" t="s">
        <v>109</v>
      </c>
      <c r="H28" s="268">
        <v>0</v>
      </c>
      <c r="I28" s="9"/>
      <c r="J28" s="11"/>
      <c r="K28" s="10">
        <f t="shared" si="0"/>
        <v>-223035</v>
      </c>
      <c r="N28" s="88"/>
    </row>
    <row r="29" spans="1:14" ht="15">
      <c r="A29" s="88"/>
      <c r="B29" s="16">
        <v>43433</v>
      </c>
      <c r="C29" s="15" t="s">
        <v>106</v>
      </c>
      <c r="D29" s="14" t="s">
        <v>69</v>
      </c>
      <c r="E29" s="13" t="s">
        <v>110</v>
      </c>
      <c r="F29" s="282">
        <v>866461030769357</v>
      </c>
      <c r="G29" s="12" t="s">
        <v>55</v>
      </c>
      <c r="H29" s="268">
        <v>26200</v>
      </c>
      <c r="I29" s="9"/>
      <c r="J29" s="11"/>
      <c r="K29" s="10">
        <f t="shared" si="0"/>
        <v>-249235</v>
      </c>
      <c r="N29" s="88"/>
    </row>
    <row r="30" spans="1:14" ht="15">
      <c r="A30" s="88"/>
      <c r="B30" s="16">
        <v>43434</v>
      </c>
      <c r="C30" s="15" t="s">
        <v>107</v>
      </c>
      <c r="D30" s="14" t="s">
        <v>69</v>
      </c>
      <c r="E30" s="13" t="s">
        <v>111</v>
      </c>
      <c r="F30" s="282">
        <v>867611036448690</v>
      </c>
      <c r="G30" s="12" t="s">
        <v>112</v>
      </c>
      <c r="H30" s="268">
        <v>24200</v>
      </c>
      <c r="I30" s="9"/>
      <c r="J30" s="11"/>
      <c r="K30" s="10">
        <f t="shared" si="0"/>
        <v>-273435</v>
      </c>
      <c r="N30" s="88"/>
    </row>
    <row r="31" spans="1:14" ht="15">
      <c r="A31" s="88"/>
      <c r="B31" s="108">
        <v>43434</v>
      </c>
      <c r="C31" s="109" t="s">
        <v>108</v>
      </c>
      <c r="D31" s="110" t="s">
        <v>69</v>
      </c>
      <c r="E31" s="111" t="s">
        <v>113</v>
      </c>
      <c r="F31" s="288">
        <v>868475031723435</v>
      </c>
      <c r="G31" s="107" t="s">
        <v>109</v>
      </c>
      <c r="H31" s="268">
        <v>0</v>
      </c>
      <c r="I31" s="9"/>
      <c r="J31" s="11"/>
      <c r="K31" s="10">
        <f t="shared" si="0"/>
        <v>-273435</v>
      </c>
      <c r="N31" s="88"/>
    </row>
    <row r="32" spans="1:14" ht="15">
      <c r="A32" s="88"/>
      <c r="B32" s="16">
        <v>43437</v>
      </c>
      <c r="C32" s="15" t="s">
        <v>120</v>
      </c>
      <c r="D32" s="19" t="s">
        <v>2</v>
      </c>
      <c r="E32" s="17" t="s">
        <v>6</v>
      </c>
      <c r="F32" s="283" t="s">
        <v>115</v>
      </c>
      <c r="G32" s="126" t="s">
        <v>1</v>
      </c>
      <c r="H32" s="268">
        <v>17100</v>
      </c>
      <c r="I32" s="9"/>
      <c r="J32" s="11"/>
      <c r="K32" s="10">
        <f t="shared" si="0"/>
        <v>-290535</v>
      </c>
      <c r="N32" s="88"/>
    </row>
    <row r="33" spans="1:14" ht="15">
      <c r="A33" s="88"/>
      <c r="B33" s="108">
        <v>43437</v>
      </c>
      <c r="C33" s="109" t="s">
        <v>121</v>
      </c>
      <c r="D33" s="110" t="s">
        <v>69</v>
      </c>
      <c r="E33" s="111" t="s">
        <v>113</v>
      </c>
      <c r="F33" s="289" t="s">
        <v>116</v>
      </c>
      <c r="G33" s="107" t="s">
        <v>123</v>
      </c>
      <c r="H33" s="268">
        <v>0</v>
      </c>
      <c r="I33" s="9"/>
      <c r="J33" s="11"/>
      <c r="K33" s="10">
        <f t="shared" si="0"/>
        <v>-290535</v>
      </c>
      <c r="N33" s="88"/>
    </row>
    <row r="34" spans="1:14" ht="15">
      <c r="A34" s="88"/>
      <c r="B34" s="16">
        <v>43438</v>
      </c>
      <c r="C34" s="15" t="s">
        <v>122</v>
      </c>
      <c r="D34" s="14" t="s">
        <v>69</v>
      </c>
      <c r="E34" s="17" t="s">
        <v>117</v>
      </c>
      <c r="F34" s="283" t="s">
        <v>118</v>
      </c>
      <c r="G34" s="126" t="s">
        <v>119</v>
      </c>
      <c r="H34" s="268">
        <v>21100</v>
      </c>
      <c r="I34" s="9"/>
      <c r="J34" s="11"/>
      <c r="K34" s="10">
        <f t="shared" si="0"/>
        <v>-311635</v>
      </c>
      <c r="N34" s="88"/>
    </row>
    <row r="35" spans="1:14" ht="15">
      <c r="A35" s="88"/>
      <c r="B35" s="16">
        <v>43441</v>
      </c>
      <c r="C35" s="15" t="s">
        <v>126</v>
      </c>
      <c r="D35" s="14" t="s">
        <v>69</v>
      </c>
      <c r="E35" s="13" t="s">
        <v>132</v>
      </c>
      <c r="F35" s="282">
        <v>339010</v>
      </c>
      <c r="G35" s="12" t="s">
        <v>55</v>
      </c>
      <c r="H35" s="268">
        <v>16800</v>
      </c>
      <c r="I35" s="9"/>
      <c r="J35" s="11"/>
      <c r="K35" s="10">
        <f t="shared" si="0"/>
        <v>-328435</v>
      </c>
      <c r="N35" s="88"/>
    </row>
    <row r="36" spans="1:14" ht="15">
      <c r="A36" s="88"/>
      <c r="B36" s="16">
        <v>43447</v>
      </c>
      <c r="C36" s="15" t="s">
        <v>127</v>
      </c>
      <c r="D36" s="14" t="s">
        <v>2</v>
      </c>
      <c r="E36" s="17" t="s">
        <v>140</v>
      </c>
      <c r="F36" s="282">
        <v>764092</v>
      </c>
      <c r="G36" s="12" t="s">
        <v>55</v>
      </c>
      <c r="H36" s="268">
        <v>24700</v>
      </c>
      <c r="I36" s="9"/>
      <c r="J36" s="11"/>
      <c r="K36" s="10">
        <f t="shared" si="0"/>
        <v>-353135</v>
      </c>
      <c r="N36" s="88"/>
    </row>
    <row r="37" spans="1:14" ht="15">
      <c r="A37" s="88"/>
      <c r="B37" s="16">
        <v>43447</v>
      </c>
      <c r="C37" s="15" t="s">
        <v>128</v>
      </c>
      <c r="D37" s="14" t="s">
        <v>61</v>
      </c>
      <c r="E37" s="13" t="s">
        <v>133</v>
      </c>
      <c r="F37" s="282">
        <v>800299</v>
      </c>
      <c r="G37" s="12" t="s">
        <v>136</v>
      </c>
      <c r="H37" s="268">
        <v>10500</v>
      </c>
      <c r="I37" s="9"/>
      <c r="J37" s="11"/>
      <c r="K37" s="10">
        <f t="shared" si="0"/>
        <v>-363635</v>
      </c>
      <c r="N37" s="88"/>
    </row>
    <row r="38" spans="1:14" ht="15">
      <c r="A38" s="88"/>
      <c r="B38" s="16">
        <v>43448</v>
      </c>
      <c r="C38" s="15" t="s">
        <v>129</v>
      </c>
      <c r="D38" s="14" t="s">
        <v>61</v>
      </c>
      <c r="E38" s="13" t="s">
        <v>134</v>
      </c>
      <c r="F38" s="282">
        <v>27342</v>
      </c>
      <c r="G38" s="12" t="s">
        <v>137</v>
      </c>
      <c r="H38" s="268">
        <v>13780</v>
      </c>
      <c r="I38" s="9"/>
      <c r="J38" s="11"/>
      <c r="K38" s="10">
        <f t="shared" si="0"/>
        <v>-377415</v>
      </c>
      <c r="N38" s="88"/>
    </row>
    <row r="39" spans="1:14" ht="15">
      <c r="A39" s="88"/>
      <c r="B39" s="16">
        <v>43448</v>
      </c>
      <c r="C39" s="15" t="s">
        <v>130</v>
      </c>
      <c r="D39" s="14" t="s">
        <v>0</v>
      </c>
      <c r="E39" s="13" t="s">
        <v>135</v>
      </c>
      <c r="F39" s="282">
        <v>241486</v>
      </c>
      <c r="G39" s="12" t="s">
        <v>59</v>
      </c>
      <c r="H39" s="268">
        <v>16150</v>
      </c>
      <c r="I39" s="9"/>
      <c r="J39" s="11"/>
      <c r="K39" s="10">
        <f t="shared" si="0"/>
        <v>-393565</v>
      </c>
      <c r="N39" s="88"/>
    </row>
    <row r="40" spans="1:14" ht="15">
      <c r="A40" s="88"/>
      <c r="B40" s="16">
        <v>43449</v>
      </c>
      <c r="C40" s="15" t="s">
        <v>131</v>
      </c>
      <c r="D40" s="14" t="s">
        <v>69</v>
      </c>
      <c r="E40" s="13" t="s">
        <v>132</v>
      </c>
      <c r="F40" s="282">
        <v>174358</v>
      </c>
      <c r="G40" s="12" t="s">
        <v>1</v>
      </c>
      <c r="H40" s="268">
        <v>16800</v>
      </c>
      <c r="I40" s="9"/>
      <c r="J40" s="11"/>
      <c r="K40" s="10">
        <f t="shared" si="0"/>
        <v>-410365</v>
      </c>
      <c r="N40" s="88"/>
    </row>
    <row r="41" spans="1:14" ht="15">
      <c r="A41" s="88"/>
      <c r="B41" s="16">
        <v>43452</v>
      </c>
      <c r="C41" s="15" t="s">
        <v>145</v>
      </c>
      <c r="D41" s="14" t="s">
        <v>69</v>
      </c>
      <c r="E41" s="114" t="s">
        <v>138</v>
      </c>
      <c r="F41" s="283" t="s">
        <v>139</v>
      </c>
      <c r="G41" s="219" t="s">
        <v>55</v>
      </c>
      <c r="H41" s="268">
        <v>29600</v>
      </c>
      <c r="I41" s="9"/>
      <c r="J41" s="11"/>
      <c r="K41" s="10">
        <f t="shared" si="0"/>
        <v>-439965</v>
      </c>
      <c r="N41" s="88"/>
    </row>
    <row r="42" spans="1:14" ht="15">
      <c r="A42" s="88"/>
      <c r="B42" s="100">
        <v>43452</v>
      </c>
      <c r="C42" s="101"/>
      <c r="D42" s="102"/>
      <c r="E42" s="103" t="s">
        <v>68</v>
      </c>
      <c r="F42" s="115">
        <v>78820</v>
      </c>
      <c r="G42" s="102"/>
      <c r="H42" s="269"/>
      <c r="I42" s="9">
        <v>78820</v>
      </c>
      <c r="J42" s="11"/>
      <c r="K42" s="10">
        <f t="shared" si="0"/>
        <v>-361145</v>
      </c>
      <c r="N42" s="88"/>
    </row>
    <row r="43" spans="1:14" ht="15">
      <c r="A43" s="88"/>
      <c r="B43" s="16">
        <v>43454</v>
      </c>
      <c r="C43" s="15" t="s">
        <v>146</v>
      </c>
      <c r="D43" s="14" t="s">
        <v>2</v>
      </c>
      <c r="E43" s="17" t="s">
        <v>140</v>
      </c>
      <c r="F43" s="283" t="s">
        <v>141</v>
      </c>
      <c r="G43" s="126" t="s">
        <v>55</v>
      </c>
      <c r="H43" s="268">
        <v>24700</v>
      </c>
      <c r="I43" s="9"/>
      <c r="J43" s="11"/>
      <c r="K43" s="10">
        <f t="shared" si="0"/>
        <v>-385845</v>
      </c>
      <c r="N43" s="88"/>
    </row>
    <row r="44" spans="1:14" ht="15">
      <c r="A44" s="88"/>
      <c r="B44" s="16">
        <v>43454</v>
      </c>
      <c r="C44" s="15" t="s">
        <v>147</v>
      </c>
      <c r="D44" s="14" t="s">
        <v>69</v>
      </c>
      <c r="E44" s="17" t="s">
        <v>70</v>
      </c>
      <c r="F44" s="283" t="s">
        <v>142</v>
      </c>
      <c r="G44" s="126" t="s">
        <v>55</v>
      </c>
      <c r="H44" s="268">
        <v>16800</v>
      </c>
      <c r="I44" s="9"/>
      <c r="J44" s="11"/>
      <c r="K44" s="10">
        <f t="shared" si="0"/>
        <v>-402645</v>
      </c>
      <c r="N44" s="88"/>
    </row>
    <row r="45" spans="1:14" ht="15">
      <c r="A45" s="88"/>
      <c r="B45" s="16">
        <v>43454</v>
      </c>
      <c r="C45" s="15" t="s">
        <v>148</v>
      </c>
      <c r="D45" s="14" t="s">
        <v>0</v>
      </c>
      <c r="E45" s="17" t="s">
        <v>143</v>
      </c>
      <c r="F45" s="283" t="s">
        <v>144</v>
      </c>
      <c r="G45" s="126" t="s">
        <v>55</v>
      </c>
      <c r="H45" s="268">
        <v>18800</v>
      </c>
      <c r="I45" s="9"/>
      <c r="J45" s="11"/>
      <c r="K45" s="10">
        <f t="shared" si="0"/>
        <v>-421445</v>
      </c>
      <c r="N45" s="88"/>
    </row>
    <row r="46" spans="1:14" ht="15">
      <c r="A46" s="88"/>
      <c r="B46" s="100">
        <v>43458</v>
      </c>
      <c r="C46" s="101"/>
      <c r="D46" s="102"/>
      <c r="E46" s="103" t="s">
        <v>68</v>
      </c>
      <c r="F46" s="115">
        <v>35000</v>
      </c>
      <c r="G46" s="102"/>
      <c r="H46" s="269"/>
      <c r="I46" s="9">
        <v>35000</v>
      </c>
      <c r="J46" s="11"/>
      <c r="K46" s="10">
        <f t="shared" si="0"/>
        <v>-386445</v>
      </c>
      <c r="N46" s="88"/>
    </row>
    <row r="47" spans="1:14" ht="15">
      <c r="A47" s="88"/>
      <c r="B47" s="16">
        <v>43458</v>
      </c>
      <c r="C47" s="15" t="s">
        <v>153</v>
      </c>
      <c r="D47" s="14" t="s">
        <v>149</v>
      </c>
      <c r="E47" s="13" t="s">
        <v>150</v>
      </c>
      <c r="F47" s="282">
        <v>866109038916229</v>
      </c>
      <c r="G47" s="12" t="s">
        <v>55</v>
      </c>
      <c r="H47" s="268">
        <v>16150</v>
      </c>
      <c r="I47" s="9"/>
      <c r="J47" s="11"/>
      <c r="K47" s="10">
        <f t="shared" si="0"/>
        <v>-402595</v>
      </c>
      <c r="N47" s="88"/>
    </row>
    <row r="48" spans="1:14" ht="15">
      <c r="A48" s="88"/>
      <c r="B48" s="16">
        <v>43458</v>
      </c>
      <c r="C48" s="15" t="s">
        <v>154</v>
      </c>
      <c r="D48" s="14" t="s">
        <v>152</v>
      </c>
      <c r="E48" s="13" t="s">
        <v>151</v>
      </c>
      <c r="F48" s="282">
        <v>508467</v>
      </c>
      <c r="G48" s="12" t="s">
        <v>1</v>
      </c>
      <c r="H48" s="268">
        <v>18050</v>
      </c>
      <c r="I48" s="9"/>
      <c r="J48" s="11"/>
      <c r="K48" s="10">
        <f t="shared" si="0"/>
        <v>-420645</v>
      </c>
      <c r="N48" s="88"/>
    </row>
    <row r="49" spans="1:14" ht="15">
      <c r="A49" s="88"/>
      <c r="B49" s="16">
        <v>43458</v>
      </c>
      <c r="C49" s="15" t="s">
        <v>155</v>
      </c>
      <c r="D49" s="14" t="s">
        <v>2</v>
      </c>
      <c r="E49" s="13" t="s">
        <v>6</v>
      </c>
      <c r="F49" s="282">
        <v>164088</v>
      </c>
      <c r="G49" s="12" t="s">
        <v>55</v>
      </c>
      <c r="H49" s="268">
        <v>19000</v>
      </c>
      <c r="I49" s="9"/>
      <c r="J49" s="11"/>
      <c r="K49" s="10">
        <f t="shared" si="0"/>
        <v>-439645</v>
      </c>
      <c r="N49" s="88"/>
    </row>
    <row r="50" spans="1:14" ht="15">
      <c r="A50" s="88"/>
      <c r="B50" s="16">
        <v>43459</v>
      </c>
      <c r="C50" s="15" t="s">
        <v>156</v>
      </c>
      <c r="D50" s="14" t="s">
        <v>0</v>
      </c>
      <c r="E50" s="13" t="s">
        <v>157</v>
      </c>
      <c r="F50" s="282">
        <v>358514083086577</v>
      </c>
      <c r="G50" s="12" t="s">
        <v>55</v>
      </c>
      <c r="H50" s="268">
        <v>30880</v>
      </c>
      <c r="I50" s="9"/>
      <c r="J50" s="11"/>
      <c r="K50" s="10">
        <f t="shared" si="0"/>
        <v>-470525</v>
      </c>
      <c r="N50" s="88"/>
    </row>
    <row r="51" spans="1:14" ht="15">
      <c r="A51" s="88"/>
      <c r="B51" s="16">
        <v>43472</v>
      </c>
      <c r="C51" s="15" t="s">
        <v>160</v>
      </c>
      <c r="D51" s="14" t="s">
        <v>0</v>
      </c>
      <c r="E51" s="13" t="s">
        <v>143</v>
      </c>
      <c r="F51" s="282">
        <v>200823</v>
      </c>
      <c r="G51" s="12" t="s">
        <v>49</v>
      </c>
      <c r="H51" s="268">
        <v>19000</v>
      </c>
      <c r="I51" s="9"/>
      <c r="J51" s="11"/>
      <c r="K51" s="10">
        <f t="shared" si="0"/>
        <v>-489525</v>
      </c>
      <c r="N51" s="88"/>
    </row>
    <row r="52" spans="1:14" ht="15">
      <c r="A52" s="88"/>
      <c r="B52" s="100">
        <v>43474</v>
      </c>
      <c r="C52" s="257" t="s">
        <v>68</v>
      </c>
      <c r="D52" s="257"/>
      <c r="E52" s="257"/>
      <c r="F52" s="115">
        <f>24*5000+61*1000+48*500</f>
        <v>205000</v>
      </c>
      <c r="G52" s="101"/>
      <c r="H52" s="269"/>
      <c r="I52" s="9">
        <v>205000</v>
      </c>
      <c r="J52" s="11"/>
      <c r="K52" s="10">
        <f t="shared" si="0"/>
        <v>-284525</v>
      </c>
      <c r="N52" s="88"/>
    </row>
    <row r="53" spans="1:14" ht="15">
      <c r="A53" s="88"/>
      <c r="B53" s="16">
        <v>43476</v>
      </c>
      <c r="C53" s="15" t="s">
        <v>161</v>
      </c>
      <c r="D53" s="14" t="s">
        <v>2</v>
      </c>
      <c r="E53" s="17" t="s">
        <v>140</v>
      </c>
      <c r="F53" s="282">
        <v>538365</v>
      </c>
      <c r="G53" s="12" t="s">
        <v>55</v>
      </c>
      <c r="H53" s="268">
        <f>24750+100</f>
        <v>24850</v>
      </c>
      <c r="I53" s="9"/>
      <c r="J53" s="11"/>
      <c r="K53" s="10">
        <f t="shared" si="0"/>
        <v>-309375</v>
      </c>
      <c r="N53" s="88"/>
    </row>
    <row r="54" spans="1:14" ht="15">
      <c r="A54" s="88"/>
      <c r="B54" s="16">
        <v>43477</v>
      </c>
      <c r="C54" s="15" t="s">
        <v>167</v>
      </c>
      <c r="D54" s="14" t="s">
        <v>61</v>
      </c>
      <c r="E54" s="118" t="s">
        <v>164</v>
      </c>
      <c r="F54" s="290" t="s">
        <v>165</v>
      </c>
      <c r="G54" s="126" t="s">
        <v>95</v>
      </c>
      <c r="H54" s="268">
        <v>12350</v>
      </c>
      <c r="I54" s="9"/>
      <c r="J54" s="11"/>
      <c r="K54" s="10">
        <f t="shared" si="0"/>
        <v>-321725</v>
      </c>
      <c r="N54" s="88"/>
    </row>
    <row r="55" spans="1:14" ht="15">
      <c r="A55" s="88"/>
      <c r="B55" s="16">
        <v>43479</v>
      </c>
      <c r="C55" s="15" t="s">
        <v>168</v>
      </c>
      <c r="D55" s="14" t="s">
        <v>69</v>
      </c>
      <c r="E55" s="118" t="s">
        <v>117</v>
      </c>
      <c r="F55" s="290" t="s">
        <v>166</v>
      </c>
      <c r="G55" s="12" t="s">
        <v>119</v>
      </c>
      <c r="H55" s="268">
        <v>21000</v>
      </c>
      <c r="I55" s="9"/>
      <c r="J55" s="11"/>
      <c r="K55" s="10">
        <f t="shared" si="0"/>
        <v>-342725</v>
      </c>
      <c r="N55" s="88"/>
    </row>
    <row r="56" spans="1:14" ht="15">
      <c r="A56" s="88"/>
      <c r="B56" s="16">
        <v>43482</v>
      </c>
      <c r="C56" s="15" t="s">
        <v>169</v>
      </c>
      <c r="D56" s="14" t="s">
        <v>173</v>
      </c>
      <c r="E56" s="13" t="s">
        <v>175</v>
      </c>
      <c r="F56" s="282">
        <v>221932</v>
      </c>
      <c r="G56" s="12" t="s">
        <v>95</v>
      </c>
      <c r="H56" s="268">
        <v>11700</v>
      </c>
      <c r="I56" s="9"/>
      <c r="J56" s="11"/>
      <c r="K56" s="10">
        <f t="shared" si="0"/>
        <v>-354425</v>
      </c>
      <c r="N56" s="88"/>
    </row>
    <row r="57" spans="1:14" ht="15">
      <c r="A57" s="88"/>
      <c r="B57" s="16">
        <v>43483</v>
      </c>
      <c r="C57" s="15" t="s">
        <v>170</v>
      </c>
      <c r="D57" s="14" t="s">
        <v>2</v>
      </c>
      <c r="E57" s="13" t="s">
        <v>140</v>
      </c>
      <c r="F57" s="282">
        <v>925792</v>
      </c>
      <c r="G57" s="12" t="s">
        <v>1</v>
      </c>
      <c r="H57" s="268">
        <v>24750</v>
      </c>
      <c r="I57" s="9"/>
      <c r="J57" s="11"/>
      <c r="K57" s="10">
        <f t="shared" si="0"/>
        <v>-379175</v>
      </c>
      <c r="N57" s="88"/>
    </row>
    <row r="58" spans="1:14" ht="15">
      <c r="A58" s="88"/>
      <c r="B58" s="16">
        <v>43487</v>
      </c>
      <c r="C58" s="15" t="s">
        <v>171</v>
      </c>
      <c r="D58" s="14" t="s">
        <v>69</v>
      </c>
      <c r="E58" s="118" t="s">
        <v>174</v>
      </c>
      <c r="F58" s="282">
        <v>78778</v>
      </c>
      <c r="G58" s="12" t="s">
        <v>112</v>
      </c>
      <c r="H58" s="268">
        <f>26000+100</f>
        <v>26100</v>
      </c>
      <c r="I58" s="9"/>
      <c r="J58" s="11"/>
      <c r="K58" s="10">
        <f t="shared" si="0"/>
        <v>-405275</v>
      </c>
      <c r="N58" s="88"/>
    </row>
    <row r="59" spans="1:14" ht="15">
      <c r="A59" s="88"/>
      <c r="B59" s="16">
        <v>43488</v>
      </c>
      <c r="C59" s="15" t="s">
        <v>172</v>
      </c>
      <c r="D59" s="14" t="s">
        <v>69</v>
      </c>
      <c r="E59" s="118" t="s">
        <v>117</v>
      </c>
      <c r="F59" s="282">
        <v>367991</v>
      </c>
      <c r="G59" s="12" t="s">
        <v>119</v>
      </c>
      <c r="H59" s="268">
        <v>21000</v>
      </c>
      <c r="I59" s="9"/>
      <c r="J59" s="11"/>
      <c r="K59" s="10">
        <f t="shared" si="0"/>
        <v>-426275</v>
      </c>
      <c r="N59" s="88"/>
    </row>
    <row r="60" spans="1:14" ht="15">
      <c r="A60" s="88"/>
      <c r="B60" s="16">
        <v>43498</v>
      </c>
      <c r="C60" s="15" t="s">
        <v>180</v>
      </c>
      <c r="D60" s="14" t="s">
        <v>69</v>
      </c>
      <c r="E60" s="118" t="s">
        <v>117</v>
      </c>
      <c r="F60" s="290" t="s">
        <v>176</v>
      </c>
      <c r="G60" s="12" t="s">
        <v>119</v>
      </c>
      <c r="H60" s="268">
        <v>21000</v>
      </c>
      <c r="I60" s="9"/>
      <c r="J60" s="11"/>
      <c r="K60" s="10">
        <f t="shared" si="0"/>
        <v>-447275</v>
      </c>
      <c r="N60" s="88"/>
    </row>
    <row r="61" spans="1:14" ht="15">
      <c r="A61" s="88"/>
      <c r="B61" s="16">
        <v>43498</v>
      </c>
      <c r="C61" s="15" t="s">
        <v>181</v>
      </c>
      <c r="D61" s="14" t="s">
        <v>69</v>
      </c>
      <c r="E61" s="118" t="s">
        <v>117</v>
      </c>
      <c r="F61" s="290" t="s">
        <v>177</v>
      </c>
      <c r="G61" s="12" t="s">
        <v>112</v>
      </c>
      <c r="H61" s="268">
        <v>21000</v>
      </c>
      <c r="I61" s="9"/>
      <c r="J61" s="11"/>
      <c r="K61" s="10">
        <f t="shared" si="0"/>
        <v>-468275</v>
      </c>
      <c r="N61" s="88"/>
    </row>
    <row r="62" spans="1:14" ht="15">
      <c r="A62" s="88"/>
      <c r="B62" s="16">
        <v>43498</v>
      </c>
      <c r="C62" s="15" t="s">
        <v>182</v>
      </c>
      <c r="D62" s="14" t="s">
        <v>61</v>
      </c>
      <c r="E62" s="118" t="s">
        <v>178</v>
      </c>
      <c r="F62" s="290" t="s">
        <v>179</v>
      </c>
      <c r="G62" s="12" t="s">
        <v>59</v>
      </c>
      <c r="H62" s="268">
        <v>10930</v>
      </c>
      <c r="I62" s="9"/>
      <c r="J62" s="11"/>
      <c r="K62" s="10">
        <f t="shared" si="0"/>
        <v>-479205</v>
      </c>
      <c r="N62" s="88"/>
    </row>
    <row r="63" spans="1:14" ht="15">
      <c r="A63" s="88"/>
      <c r="B63" s="16">
        <v>43500</v>
      </c>
      <c r="C63" s="15" t="s">
        <v>186</v>
      </c>
      <c r="D63" s="119" t="s">
        <v>173</v>
      </c>
      <c r="E63" s="118" t="s">
        <v>184</v>
      </c>
      <c r="F63" s="290" t="s">
        <v>185</v>
      </c>
      <c r="G63" s="12" t="s">
        <v>1</v>
      </c>
      <c r="H63" s="268">
        <v>9500</v>
      </c>
      <c r="I63" s="9"/>
      <c r="J63" s="11"/>
      <c r="K63" s="10">
        <f t="shared" si="0"/>
        <v>-488705</v>
      </c>
      <c r="N63" s="88"/>
    </row>
    <row r="64" spans="1:14" ht="15">
      <c r="A64" s="88"/>
      <c r="B64" s="16">
        <v>43504</v>
      </c>
      <c r="C64" s="15" t="s">
        <v>191</v>
      </c>
      <c r="D64" s="14" t="s">
        <v>2</v>
      </c>
      <c r="E64" s="118" t="s">
        <v>187</v>
      </c>
      <c r="F64" s="290" t="s">
        <v>188</v>
      </c>
      <c r="G64" s="12" t="s">
        <v>1</v>
      </c>
      <c r="H64" s="268">
        <v>28440</v>
      </c>
      <c r="I64" s="9"/>
      <c r="J64" s="11"/>
      <c r="K64" s="10">
        <f t="shared" si="0"/>
        <v>-517145</v>
      </c>
      <c r="N64" s="88"/>
    </row>
    <row r="65" spans="1:14" ht="15">
      <c r="A65" s="88"/>
      <c r="B65" s="16">
        <v>43504</v>
      </c>
      <c r="C65" s="15" t="s">
        <v>192</v>
      </c>
      <c r="D65" s="14" t="s">
        <v>61</v>
      </c>
      <c r="E65" s="118" t="s">
        <v>189</v>
      </c>
      <c r="F65" s="290" t="s">
        <v>190</v>
      </c>
      <c r="G65" s="12"/>
      <c r="H65" s="268">
        <v>8460</v>
      </c>
      <c r="I65" s="9"/>
      <c r="J65" s="11"/>
      <c r="K65" s="10">
        <f t="shared" si="0"/>
        <v>-525605</v>
      </c>
      <c r="L65" s="5">
        <v>0</v>
      </c>
      <c r="N65" s="88"/>
    </row>
    <row r="66" spans="1:14" ht="15">
      <c r="A66" s="88"/>
      <c r="B66" s="16">
        <v>43507</v>
      </c>
      <c r="C66" s="15" t="s">
        <v>194</v>
      </c>
      <c r="D66" s="14" t="s">
        <v>2</v>
      </c>
      <c r="E66" s="118" t="s">
        <v>187</v>
      </c>
      <c r="F66" s="290" t="s">
        <v>193</v>
      </c>
      <c r="G66" s="125" t="s">
        <v>241</v>
      </c>
      <c r="H66" s="268">
        <f>28130+100</f>
        <v>28230</v>
      </c>
      <c r="I66" s="9"/>
      <c r="J66" s="11"/>
      <c r="K66" s="10">
        <f t="shared" si="0"/>
        <v>-553835</v>
      </c>
      <c r="L66" s="93">
        <v>800</v>
      </c>
      <c r="M66" s="93">
        <v>800</v>
      </c>
      <c r="N66" s="88"/>
    </row>
    <row r="67" spans="1:14" ht="15">
      <c r="A67" s="88"/>
      <c r="B67" s="16">
        <v>43508</v>
      </c>
      <c r="C67" s="15" t="s">
        <v>195</v>
      </c>
      <c r="D67" s="14" t="s">
        <v>2</v>
      </c>
      <c r="E67" s="118" t="s">
        <v>187</v>
      </c>
      <c r="F67" s="291" t="s">
        <v>197</v>
      </c>
      <c r="G67" s="12" t="s">
        <v>196</v>
      </c>
      <c r="H67" s="268">
        <f>28130+100</f>
        <v>28230</v>
      </c>
      <c r="I67" s="9"/>
      <c r="J67" s="11"/>
      <c r="K67" s="10">
        <f t="shared" si="0"/>
        <v>-582065</v>
      </c>
      <c r="L67" s="93">
        <v>800</v>
      </c>
      <c r="M67" s="93">
        <v>800</v>
      </c>
      <c r="N67" s="88"/>
    </row>
    <row r="68" spans="1:14" ht="15">
      <c r="A68" s="88"/>
      <c r="B68" s="16">
        <v>43508</v>
      </c>
      <c r="C68" s="15" t="s">
        <v>199</v>
      </c>
      <c r="D68" s="14" t="s">
        <v>0</v>
      </c>
      <c r="E68" s="13" t="s">
        <v>198</v>
      </c>
      <c r="F68" s="291" t="s">
        <v>200</v>
      </c>
      <c r="G68" s="12" t="s">
        <v>59</v>
      </c>
      <c r="H68" s="268">
        <v>22330</v>
      </c>
      <c r="I68" s="9"/>
      <c r="J68" s="11"/>
      <c r="K68" s="10">
        <f t="shared" si="0"/>
        <v>-604395</v>
      </c>
      <c r="L68" s="93">
        <v>0</v>
      </c>
      <c r="M68" s="93"/>
      <c r="N68" s="88"/>
    </row>
    <row r="69" spans="1:14" ht="15">
      <c r="A69" s="88"/>
      <c r="B69" s="100">
        <v>43508</v>
      </c>
      <c r="C69" s="257" t="s">
        <v>68</v>
      </c>
      <c r="D69" s="257"/>
      <c r="E69" s="257"/>
      <c r="F69" s="115">
        <f>8*5000+216*1000+88*500</f>
        <v>300000</v>
      </c>
      <c r="G69" s="101"/>
      <c r="H69" s="269"/>
      <c r="I69" s="9">
        <v>300000</v>
      </c>
      <c r="J69" s="11"/>
      <c r="K69" s="10">
        <f t="shared" si="0"/>
        <v>-304395</v>
      </c>
      <c r="L69" s="93"/>
      <c r="M69" s="93"/>
      <c r="N69" s="88"/>
    </row>
    <row r="70" spans="1:14" ht="15">
      <c r="A70" s="88"/>
      <c r="B70" s="16">
        <v>43509</v>
      </c>
      <c r="C70" s="15" t="s">
        <v>203</v>
      </c>
      <c r="D70" s="14" t="s">
        <v>69</v>
      </c>
      <c r="E70" s="118" t="s">
        <v>117</v>
      </c>
      <c r="F70" s="290" t="s">
        <v>201</v>
      </c>
      <c r="G70" s="12" t="s">
        <v>112</v>
      </c>
      <c r="H70" s="268">
        <v>21000</v>
      </c>
      <c r="I70" s="9"/>
      <c r="J70" s="11"/>
      <c r="K70" s="10">
        <f t="shared" si="0"/>
        <v>-325395</v>
      </c>
      <c r="L70" s="93">
        <v>0</v>
      </c>
      <c r="M70" s="93"/>
      <c r="N70" s="88"/>
    </row>
    <row r="71" spans="1:14" ht="15">
      <c r="A71" s="88"/>
      <c r="B71" s="16">
        <v>43511</v>
      </c>
      <c r="C71" s="15" t="s">
        <v>204</v>
      </c>
      <c r="D71" s="14" t="s">
        <v>2</v>
      </c>
      <c r="E71" s="118" t="s">
        <v>187</v>
      </c>
      <c r="F71" s="290" t="s">
        <v>202</v>
      </c>
      <c r="G71" s="12" t="s">
        <v>1</v>
      </c>
      <c r="H71" s="268">
        <v>27840</v>
      </c>
      <c r="I71" s="9"/>
      <c r="J71" s="11"/>
      <c r="K71" s="10">
        <f t="shared" si="0"/>
        <v>-353235</v>
      </c>
      <c r="L71" s="93">
        <v>800</v>
      </c>
      <c r="M71" s="93">
        <v>800</v>
      </c>
      <c r="N71" s="88"/>
    </row>
    <row r="72" spans="1:14" ht="15">
      <c r="A72" s="88"/>
      <c r="B72" s="16">
        <v>43516</v>
      </c>
      <c r="C72" s="15" t="s">
        <v>205</v>
      </c>
      <c r="D72" s="14" t="s">
        <v>2</v>
      </c>
      <c r="E72" s="118" t="s">
        <v>187</v>
      </c>
      <c r="F72" s="283" t="s">
        <v>210</v>
      </c>
      <c r="G72" s="12" t="s">
        <v>1</v>
      </c>
      <c r="H72" s="268">
        <v>28000</v>
      </c>
      <c r="I72" s="9"/>
      <c r="J72" s="11"/>
      <c r="K72" s="10">
        <f t="shared" si="0"/>
        <v>-381235</v>
      </c>
      <c r="L72" s="93">
        <v>800</v>
      </c>
      <c r="M72" s="93">
        <v>800</v>
      </c>
      <c r="N72" s="88"/>
    </row>
    <row r="73" spans="1:14" ht="15">
      <c r="A73" s="88"/>
      <c r="B73" s="16">
        <v>43517</v>
      </c>
      <c r="C73" s="15" t="s">
        <v>206</v>
      </c>
      <c r="D73" s="14" t="s">
        <v>61</v>
      </c>
      <c r="E73" s="13" t="s">
        <v>178</v>
      </c>
      <c r="F73" s="283" t="s">
        <v>211</v>
      </c>
      <c r="G73" s="12"/>
      <c r="H73" s="268">
        <v>10930</v>
      </c>
      <c r="I73" s="9"/>
      <c r="J73" s="11"/>
      <c r="K73" s="10">
        <f t="shared" ref="K73:K136" si="1">K72-H73+I73</f>
        <v>-392165</v>
      </c>
      <c r="L73" s="93">
        <v>0</v>
      </c>
      <c r="M73" s="93">
        <v>0</v>
      </c>
      <c r="N73" s="88"/>
    </row>
    <row r="74" spans="1:14" ht="15">
      <c r="A74" s="88"/>
      <c r="B74" s="16">
        <v>43522</v>
      </c>
      <c r="C74" s="15" t="s">
        <v>207</v>
      </c>
      <c r="D74" s="14" t="s">
        <v>0</v>
      </c>
      <c r="E74" s="13" t="s">
        <v>209</v>
      </c>
      <c r="F74" s="283" t="s">
        <v>212</v>
      </c>
      <c r="G74" s="12" t="s">
        <v>49</v>
      </c>
      <c r="H74" s="268">
        <f>19000+100</f>
        <v>19100</v>
      </c>
      <c r="I74" s="9"/>
      <c r="J74" s="11"/>
      <c r="K74" s="10">
        <f t="shared" si="1"/>
        <v>-411265</v>
      </c>
      <c r="L74" s="93">
        <v>0</v>
      </c>
      <c r="M74" s="93">
        <v>0</v>
      </c>
      <c r="N74" s="88"/>
    </row>
    <row r="75" spans="1:14" ht="15">
      <c r="A75" s="88"/>
      <c r="B75" s="16">
        <v>43523</v>
      </c>
      <c r="C75" s="15" t="s">
        <v>208</v>
      </c>
      <c r="D75" s="14" t="s">
        <v>0</v>
      </c>
      <c r="E75" s="13" t="s">
        <v>198</v>
      </c>
      <c r="F75" s="291" t="s">
        <v>213</v>
      </c>
      <c r="G75" s="12" t="s">
        <v>55</v>
      </c>
      <c r="H75" s="268">
        <f>22330+100</f>
        <v>22430</v>
      </c>
      <c r="I75" s="9"/>
      <c r="J75" s="11"/>
      <c r="K75" s="10">
        <f t="shared" si="1"/>
        <v>-433695</v>
      </c>
      <c r="L75" s="93">
        <v>0</v>
      </c>
      <c r="M75" s="93">
        <v>0</v>
      </c>
      <c r="N75" s="88"/>
    </row>
    <row r="76" spans="1:14" ht="15">
      <c r="A76" s="88"/>
      <c r="B76" s="16">
        <v>43529</v>
      </c>
      <c r="C76" s="15" t="s">
        <v>217</v>
      </c>
      <c r="D76" s="14" t="s">
        <v>2</v>
      </c>
      <c r="E76" s="118" t="s">
        <v>187</v>
      </c>
      <c r="F76" s="290" t="s">
        <v>214</v>
      </c>
      <c r="G76" s="126" t="s">
        <v>216</v>
      </c>
      <c r="H76" s="268">
        <v>28000</v>
      </c>
      <c r="I76" s="9"/>
      <c r="J76" s="11"/>
      <c r="K76" s="10">
        <f t="shared" si="1"/>
        <v>-461695</v>
      </c>
      <c r="L76" s="93">
        <v>800</v>
      </c>
      <c r="M76" s="93">
        <v>800</v>
      </c>
      <c r="N76" s="88"/>
    </row>
    <row r="77" spans="1:14" ht="15">
      <c r="A77" s="88"/>
      <c r="B77" s="16">
        <v>43531</v>
      </c>
      <c r="C77" s="15" t="s">
        <v>218</v>
      </c>
      <c r="D77" s="14" t="s">
        <v>2</v>
      </c>
      <c r="E77" s="118" t="s">
        <v>6</v>
      </c>
      <c r="F77" s="290" t="s">
        <v>215</v>
      </c>
      <c r="G77" s="126" t="s">
        <v>59</v>
      </c>
      <c r="H77" s="268">
        <f>19000+100</f>
        <v>19100</v>
      </c>
      <c r="I77" s="9"/>
      <c r="J77" s="11"/>
      <c r="K77" s="10">
        <f t="shared" si="1"/>
        <v>-480795</v>
      </c>
      <c r="L77" s="93">
        <v>500</v>
      </c>
      <c r="M77" s="93">
        <v>500</v>
      </c>
      <c r="N77" s="88"/>
    </row>
    <row r="78" spans="1:14" ht="15">
      <c r="A78" s="88"/>
      <c r="B78" s="16">
        <v>43532</v>
      </c>
      <c r="C78" s="15" t="s">
        <v>219</v>
      </c>
      <c r="D78" s="119" t="s">
        <v>173</v>
      </c>
      <c r="E78" s="17" t="s">
        <v>221</v>
      </c>
      <c r="F78" s="283" t="s">
        <v>222</v>
      </c>
      <c r="G78" s="126" t="s">
        <v>59</v>
      </c>
      <c r="H78" s="268">
        <v>11880</v>
      </c>
      <c r="I78" s="9"/>
      <c r="J78" s="11"/>
      <c r="K78" s="10">
        <f t="shared" si="1"/>
        <v>-492675</v>
      </c>
      <c r="L78" s="93">
        <v>200</v>
      </c>
      <c r="M78" s="93"/>
      <c r="N78" s="88"/>
    </row>
    <row r="79" spans="1:14" ht="15">
      <c r="A79" s="88"/>
      <c r="B79" s="100">
        <v>43508</v>
      </c>
      <c r="C79" s="257" t="s">
        <v>68</v>
      </c>
      <c r="D79" s="257"/>
      <c r="E79" s="257"/>
      <c r="F79" s="115">
        <f>5000*4+1000*67+500*24</f>
        <v>99000</v>
      </c>
      <c r="G79" s="101"/>
      <c r="H79" s="269"/>
      <c r="I79" s="9">
        <v>99000</v>
      </c>
      <c r="J79" s="11"/>
      <c r="K79" s="10">
        <f t="shared" si="1"/>
        <v>-393675</v>
      </c>
      <c r="L79" s="93"/>
      <c r="M79" s="93"/>
      <c r="N79" s="88"/>
    </row>
    <row r="80" spans="1:14" ht="15">
      <c r="A80" s="88"/>
      <c r="B80" s="16">
        <v>43533</v>
      </c>
      <c r="C80" s="15" t="s">
        <v>220</v>
      </c>
      <c r="D80" s="14" t="s">
        <v>0</v>
      </c>
      <c r="E80" s="17" t="s">
        <v>223</v>
      </c>
      <c r="F80" s="283" t="s">
        <v>224</v>
      </c>
      <c r="G80" s="126" t="s">
        <v>112</v>
      </c>
      <c r="H80" s="268">
        <f>29450+100</f>
        <v>29550</v>
      </c>
      <c r="I80" s="9"/>
      <c r="J80" s="11"/>
      <c r="K80" s="10">
        <f t="shared" si="1"/>
        <v>-423225</v>
      </c>
      <c r="L80" s="93">
        <v>0</v>
      </c>
      <c r="M80" s="93"/>
      <c r="N80" s="88"/>
    </row>
    <row r="81" spans="1:14" ht="15">
      <c r="A81" s="88"/>
      <c r="B81" s="16">
        <v>43538</v>
      </c>
      <c r="C81" s="15" t="s">
        <v>225</v>
      </c>
      <c r="D81" s="14" t="s">
        <v>61</v>
      </c>
      <c r="E81" s="118" t="s">
        <v>233</v>
      </c>
      <c r="F81" s="290" t="s">
        <v>234</v>
      </c>
      <c r="G81" s="126" t="s">
        <v>235</v>
      </c>
      <c r="H81" s="268">
        <v>6650</v>
      </c>
      <c r="I81" s="9"/>
      <c r="J81" s="11"/>
      <c r="K81" s="10">
        <f t="shared" si="1"/>
        <v>-429875</v>
      </c>
      <c r="L81" s="93">
        <v>0</v>
      </c>
      <c r="M81" s="93"/>
      <c r="N81" s="88"/>
    </row>
    <row r="82" spans="1:14" ht="15">
      <c r="A82" s="88"/>
      <c r="B82" s="16">
        <v>43539</v>
      </c>
      <c r="C82" s="130" t="s">
        <v>252</v>
      </c>
      <c r="D82" s="14" t="s">
        <v>61</v>
      </c>
      <c r="E82" s="17" t="s">
        <v>239</v>
      </c>
      <c r="F82" s="283" t="s">
        <v>251</v>
      </c>
      <c r="G82" s="126"/>
      <c r="H82" s="268">
        <v>11880</v>
      </c>
      <c r="I82" s="9"/>
      <c r="J82" s="11"/>
      <c r="K82" s="10">
        <f t="shared" si="1"/>
        <v>-441755</v>
      </c>
      <c r="L82" s="93">
        <v>0</v>
      </c>
      <c r="M82" s="93"/>
      <c r="N82" s="88"/>
    </row>
    <row r="83" spans="1:14" ht="15">
      <c r="A83" s="88"/>
      <c r="B83" s="16">
        <v>43540</v>
      </c>
      <c r="C83" s="15" t="s">
        <v>226</v>
      </c>
      <c r="D83" s="14" t="s">
        <v>69</v>
      </c>
      <c r="E83" s="118" t="s">
        <v>117</v>
      </c>
      <c r="F83" s="290" t="s">
        <v>236</v>
      </c>
      <c r="G83" s="126" t="s">
        <v>112</v>
      </c>
      <c r="H83" s="268">
        <f>19300+100</f>
        <v>19400</v>
      </c>
      <c r="I83" s="9"/>
      <c r="J83" s="11"/>
      <c r="K83" s="10">
        <f t="shared" si="1"/>
        <v>-461155</v>
      </c>
      <c r="L83" s="93">
        <v>0</v>
      </c>
      <c r="M83" s="93"/>
      <c r="N83" s="88"/>
    </row>
    <row r="84" spans="1:14" ht="15">
      <c r="A84" s="88"/>
      <c r="B84" s="16">
        <v>43540</v>
      </c>
      <c r="C84" s="15" t="s">
        <v>227</v>
      </c>
      <c r="D84" s="14" t="s">
        <v>149</v>
      </c>
      <c r="E84" s="124" t="s">
        <v>237</v>
      </c>
      <c r="F84" s="290" t="s">
        <v>238</v>
      </c>
      <c r="G84" s="126"/>
      <c r="H84" s="268">
        <v>16320</v>
      </c>
      <c r="I84" s="9"/>
      <c r="J84" s="11"/>
      <c r="K84" s="10">
        <f t="shared" si="1"/>
        <v>-477475</v>
      </c>
      <c r="L84" s="93">
        <v>0</v>
      </c>
      <c r="M84" s="93"/>
      <c r="N84" s="88"/>
    </row>
    <row r="85" spans="1:14" ht="15">
      <c r="A85" s="88"/>
      <c r="B85" s="16">
        <v>43543</v>
      </c>
      <c r="C85" s="15" t="s">
        <v>228</v>
      </c>
      <c r="D85" s="14" t="s">
        <v>61</v>
      </c>
      <c r="E85" s="124" t="s">
        <v>239</v>
      </c>
      <c r="F85" s="290" t="s">
        <v>240</v>
      </c>
      <c r="G85" s="126" t="s">
        <v>1</v>
      </c>
      <c r="H85" s="268">
        <v>11880</v>
      </c>
      <c r="I85" s="9"/>
      <c r="J85" s="11"/>
      <c r="K85" s="10">
        <f t="shared" si="1"/>
        <v>-489355</v>
      </c>
      <c r="L85" s="93">
        <v>0</v>
      </c>
      <c r="M85" s="93"/>
      <c r="N85" s="88"/>
    </row>
    <row r="86" spans="1:14" ht="15">
      <c r="A86" s="88"/>
      <c r="B86" s="16">
        <v>43546</v>
      </c>
      <c r="C86" s="15" t="s">
        <v>229</v>
      </c>
      <c r="D86" s="14" t="s">
        <v>0</v>
      </c>
      <c r="E86" s="118" t="s">
        <v>242</v>
      </c>
      <c r="F86" s="290" t="s">
        <v>243</v>
      </c>
      <c r="G86" s="126" t="s">
        <v>59</v>
      </c>
      <c r="H86" s="268">
        <v>21850</v>
      </c>
      <c r="I86" s="9"/>
      <c r="J86" s="11"/>
      <c r="K86" s="10">
        <f t="shared" si="1"/>
        <v>-511205</v>
      </c>
      <c r="L86" s="93">
        <v>0</v>
      </c>
      <c r="M86" s="93"/>
      <c r="N86" s="88"/>
    </row>
    <row r="87" spans="1:14" ht="15">
      <c r="A87" s="88"/>
      <c r="B87" s="16">
        <v>43547</v>
      </c>
      <c r="C87" s="15" t="s">
        <v>230</v>
      </c>
      <c r="D87" s="14" t="s">
        <v>69</v>
      </c>
      <c r="E87" s="118" t="s">
        <v>117</v>
      </c>
      <c r="F87" s="290" t="s">
        <v>244</v>
      </c>
      <c r="G87" s="126" t="s">
        <v>245</v>
      </c>
      <c r="H87" s="268">
        <v>19300</v>
      </c>
      <c r="I87" s="9"/>
      <c r="J87" s="11"/>
      <c r="K87" s="10">
        <f t="shared" si="1"/>
        <v>-530505</v>
      </c>
      <c r="L87" s="93">
        <v>0</v>
      </c>
      <c r="M87" s="93"/>
      <c r="N87" s="88"/>
    </row>
    <row r="88" spans="1:14" ht="15">
      <c r="A88" s="88"/>
      <c r="B88" s="100">
        <v>43547</v>
      </c>
      <c r="C88" s="103" t="s">
        <v>68</v>
      </c>
      <c r="D88" s="257"/>
      <c r="E88" s="257"/>
      <c r="F88" s="115">
        <f>5000*9+1000*63+500*34</f>
        <v>125000</v>
      </c>
      <c r="G88" s="101"/>
      <c r="H88" s="269"/>
      <c r="I88" s="9">
        <v>125000</v>
      </c>
      <c r="J88" s="11"/>
      <c r="K88" s="10">
        <f t="shared" si="1"/>
        <v>-405505</v>
      </c>
      <c r="L88" s="93"/>
      <c r="M88" s="93"/>
      <c r="N88" s="88"/>
    </row>
    <row r="89" spans="1:14" ht="15">
      <c r="A89" s="88"/>
      <c r="B89" s="16">
        <v>43551</v>
      </c>
      <c r="C89" s="15" t="s">
        <v>231</v>
      </c>
      <c r="D89" s="14" t="s">
        <v>2</v>
      </c>
      <c r="E89" s="118" t="s">
        <v>140</v>
      </c>
      <c r="F89" s="290" t="s">
        <v>246</v>
      </c>
      <c r="G89" s="126" t="s">
        <v>59</v>
      </c>
      <c r="H89" s="268">
        <v>26130</v>
      </c>
      <c r="I89" s="9"/>
      <c r="J89" s="11"/>
      <c r="K89" s="10">
        <f t="shared" si="1"/>
        <v>-431635</v>
      </c>
      <c r="L89" s="93">
        <v>600</v>
      </c>
      <c r="M89" s="93">
        <v>600</v>
      </c>
      <c r="N89" s="88"/>
    </row>
    <row r="90" spans="1:14" ht="15">
      <c r="A90" s="88"/>
      <c r="B90" s="16">
        <v>43551</v>
      </c>
      <c r="C90" s="15" t="s">
        <v>232</v>
      </c>
      <c r="D90" s="14" t="s">
        <v>61</v>
      </c>
      <c r="E90" s="118" t="s">
        <v>178</v>
      </c>
      <c r="F90" s="290" t="s">
        <v>247</v>
      </c>
      <c r="G90" s="126" t="s">
        <v>55</v>
      </c>
      <c r="H90" s="268">
        <v>11930</v>
      </c>
      <c r="I90" s="9"/>
      <c r="J90" s="11"/>
      <c r="K90" s="10">
        <f t="shared" si="1"/>
        <v>-443565</v>
      </c>
      <c r="L90" s="93">
        <v>0</v>
      </c>
      <c r="M90" s="93">
        <v>0</v>
      </c>
      <c r="N90" s="88"/>
    </row>
    <row r="91" spans="1:14" ht="15">
      <c r="A91" s="88"/>
      <c r="B91" s="16">
        <v>43554</v>
      </c>
      <c r="C91" s="15" t="s">
        <v>249</v>
      </c>
      <c r="D91" s="14" t="s">
        <v>69</v>
      </c>
      <c r="E91" s="118" t="s">
        <v>117</v>
      </c>
      <c r="F91" s="290" t="s">
        <v>248</v>
      </c>
      <c r="G91" s="126" t="s">
        <v>112</v>
      </c>
      <c r="H91" s="268">
        <v>19300</v>
      </c>
      <c r="I91" s="9"/>
      <c r="J91" s="11"/>
      <c r="K91" s="10">
        <f t="shared" si="1"/>
        <v>-462865</v>
      </c>
      <c r="L91" s="93">
        <v>0</v>
      </c>
      <c r="M91" s="93">
        <v>0</v>
      </c>
      <c r="N91" s="88"/>
    </row>
    <row r="92" spans="1:14" ht="15">
      <c r="A92" s="88"/>
      <c r="B92" s="16">
        <v>43557</v>
      </c>
      <c r="C92" s="15" t="s">
        <v>260</v>
      </c>
      <c r="D92" s="14" t="s">
        <v>2</v>
      </c>
      <c r="E92" s="118" t="s">
        <v>255</v>
      </c>
      <c r="F92" s="290" t="s">
        <v>256</v>
      </c>
      <c r="G92" s="12" t="s">
        <v>257</v>
      </c>
      <c r="H92" s="268">
        <v>36100</v>
      </c>
      <c r="I92" s="9"/>
      <c r="J92" s="11"/>
      <c r="K92" s="10">
        <f t="shared" si="1"/>
        <v>-498965</v>
      </c>
      <c r="L92" s="5">
        <v>1000</v>
      </c>
      <c r="M92" s="5">
        <v>1000</v>
      </c>
      <c r="N92" s="88"/>
    </row>
    <row r="93" spans="1:14" ht="15">
      <c r="A93" s="88"/>
      <c r="B93" s="16">
        <v>43558</v>
      </c>
      <c r="C93" s="15" t="s">
        <v>261</v>
      </c>
      <c r="D93" s="14" t="s">
        <v>61</v>
      </c>
      <c r="E93" s="118" t="s">
        <v>258</v>
      </c>
      <c r="F93" s="290" t="s">
        <v>259</v>
      </c>
      <c r="G93" s="12"/>
      <c r="H93" s="268">
        <v>8080</v>
      </c>
      <c r="I93" s="9"/>
      <c r="J93" s="11"/>
      <c r="K93" s="10">
        <f t="shared" si="1"/>
        <v>-507045</v>
      </c>
      <c r="L93" s="5">
        <v>0</v>
      </c>
      <c r="M93" s="5">
        <v>0</v>
      </c>
      <c r="N93" s="88"/>
    </row>
    <row r="94" spans="1:14" ht="15">
      <c r="A94" s="88"/>
      <c r="B94" s="100">
        <v>43565</v>
      </c>
      <c r="C94" s="103" t="s">
        <v>68</v>
      </c>
      <c r="D94" s="257"/>
      <c r="E94" s="257"/>
      <c r="F94" s="115">
        <f>5000*21+1000*100+500*46+100*1+50*1+10*3</f>
        <v>228180</v>
      </c>
      <c r="G94" s="101"/>
      <c r="H94" s="269"/>
      <c r="I94" s="9">
        <f>228180-150000</f>
        <v>78180</v>
      </c>
      <c r="J94" s="11"/>
      <c r="K94" s="10">
        <f t="shared" si="1"/>
        <v>-428865</v>
      </c>
      <c r="L94" s="121">
        <v>-5100</v>
      </c>
      <c r="M94" s="121">
        <v>-5100</v>
      </c>
      <c r="N94" s="131">
        <v>43567</v>
      </c>
    </row>
    <row r="95" spans="1:14" ht="15">
      <c r="A95" s="88"/>
      <c r="B95" s="16">
        <v>43565</v>
      </c>
      <c r="C95" s="15" t="s">
        <v>265</v>
      </c>
      <c r="D95" s="14" t="s">
        <v>69</v>
      </c>
      <c r="E95" s="118" t="s">
        <v>262</v>
      </c>
      <c r="F95" s="290" t="s">
        <v>263</v>
      </c>
      <c r="G95" s="12" t="s">
        <v>264</v>
      </c>
      <c r="H95" s="268">
        <v>28500</v>
      </c>
      <c r="I95" s="9"/>
      <c r="J95" s="11"/>
      <c r="K95" s="10">
        <f t="shared" si="1"/>
        <v>-457365</v>
      </c>
      <c r="L95" s="5">
        <v>0</v>
      </c>
      <c r="M95" s="5">
        <v>0</v>
      </c>
      <c r="N95" s="88"/>
    </row>
    <row r="96" spans="1:14" ht="15">
      <c r="A96" s="88"/>
      <c r="B96" s="16">
        <v>43568</v>
      </c>
      <c r="C96" s="130" t="s">
        <v>278</v>
      </c>
      <c r="D96" s="14" t="s">
        <v>69</v>
      </c>
      <c r="E96" s="118" t="s">
        <v>276</v>
      </c>
      <c r="F96" s="290" t="s">
        <v>277</v>
      </c>
      <c r="G96" s="220" t="s">
        <v>112</v>
      </c>
      <c r="H96" s="268">
        <v>19300</v>
      </c>
      <c r="I96" s="9"/>
      <c r="J96" s="11"/>
      <c r="K96" s="10">
        <f t="shared" si="1"/>
        <v>-476665</v>
      </c>
      <c r="L96" s="5">
        <v>0</v>
      </c>
      <c r="M96" s="5">
        <v>0</v>
      </c>
      <c r="N96" s="88"/>
    </row>
    <row r="97" spans="1:14" ht="15">
      <c r="A97" s="88"/>
      <c r="B97" s="16">
        <v>43571</v>
      </c>
      <c r="C97" s="15" t="s">
        <v>269</v>
      </c>
      <c r="D97" s="14" t="s">
        <v>2</v>
      </c>
      <c r="E97" s="118" t="s">
        <v>272</v>
      </c>
      <c r="F97" s="290" t="s">
        <v>273</v>
      </c>
      <c r="G97" s="220" t="s">
        <v>1</v>
      </c>
      <c r="H97" s="268">
        <v>27940</v>
      </c>
      <c r="I97" s="9"/>
      <c r="J97" s="11"/>
      <c r="K97" s="10">
        <f t="shared" si="1"/>
        <v>-504605</v>
      </c>
      <c r="L97" s="5">
        <v>0</v>
      </c>
      <c r="M97" s="5">
        <v>0</v>
      </c>
      <c r="N97" s="88"/>
    </row>
    <row r="98" spans="1:14" ht="15">
      <c r="A98" s="88"/>
      <c r="B98" s="16">
        <v>43572</v>
      </c>
      <c r="C98" s="15" t="s">
        <v>270</v>
      </c>
      <c r="D98" s="14" t="s">
        <v>2</v>
      </c>
      <c r="E98" s="118" t="s">
        <v>64</v>
      </c>
      <c r="F98" s="290" t="s">
        <v>266</v>
      </c>
      <c r="G98" s="220" t="s">
        <v>1</v>
      </c>
      <c r="H98" s="268">
        <v>33230</v>
      </c>
      <c r="I98" s="9"/>
      <c r="J98" s="11"/>
      <c r="K98" s="10">
        <f t="shared" si="1"/>
        <v>-537835</v>
      </c>
      <c r="L98" s="5">
        <v>800</v>
      </c>
      <c r="M98" s="5">
        <v>800</v>
      </c>
      <c r="N98" s="88"/>
    </row>
    <row r="99" spans="1:14" ht="15">
      <c r="A99" s="88"/>
      <c r="B99" s="16">
        <v>43575</v>
      </c>
      <c r="C99" s="15" t="s">
        <v>271</v>
      </c>
      <c r="D99" s="14" t="s">
        <v>0</v>
      </c>
      <c r="E99" s="118" t="s">
        <v>267</v>
      </c>
      <c r="F99" s="290" t="s">
        <v>268</v>
      </c>
      <c r="G99" s="220" t="s">
        <v>1</v>
      </c>
      <c r="H99" s="268">
        <v>20430</v>
      </c>
      <c r="I99" s="9"/>
      <c r="J99" s="11"/>
      <c r="K99" s="10">
        <f t="shared" si="1"/>
        <v>-558265</v>
      </c>
      <c r="L99" s="5">
        <v>1000</v>
      </c>
      <c r="M99" s="5">
        <v>1000</v>
      </c>
      <c r="N99" s="88"/>
    </row>
    <row r="100" spans="1:14" ht="15">
      <c r="A100" s="88"/>
      <c r="B100" s="16">
        <v>43577</v>
      </c>
      <c r="C100" s="130" t="s">
        <v>280</v>
      </c>
      <c r="D100" s="119" t="s">
        <v>173</v>
      </c>
      <c r="E100" s="118" t="s">
        <v>221</v>
      </c>
      <c r="F100" s="290" t="s">
        <v>279</v>
      </c>
      <c r="G100" s="220" t="s">
        <v>55</v>
      </c>
      <c r="H100" s="268">
        <v>11880</v>
      </c>
      <c r="I100" s="9"/>
      <c r="J100" s="11"/>
      <c r="K100" s="10">
        <f t="shared" si="1"/>
        <v>-570145</v>
      </c>
      <c r="L100" s="5">
        <v>200</v>
      </c>
      <c r="M100" s="5">
        <v>0</v>
      </c>
      <c r="N100" s="88"/>
    </row>
    <row r="101" spans="1:14" ht="15">
      <c r="A101" s="88"/>
      <c r="B101" s="16">
        <v>43578</v>
      </c>
      <c r="C101" s="15" t="s">
        <v>275</v>
      </c>
      <c r="D101" s="14" t="s">
        <v>0</v>
      </c>
      <c r="E101" s="118" t="s">
        <v>267</v>
      </c>
      <c r="F101" s="290" t="s">
        <v>274</v>
      </c>
      <c r="G101" s="220" t="s">
        <v>59</v>
      </c>
      <c r="H101" s="268">
        <v>20430</v>
      </c>
      <c r="I101" s="9"/>
      <c r="J101" s="11"/>
      <c r="K101" s="10">
        <f t="shared" si="1"/>
        <v>-590575</v>
      </c>
      <c r="L101" s="5">
        <v>0</v>
      </c>
      <c r="M101" s="5">
        <v>0</v>
      </c>
      <c r="N101" s="88"/>
    </row>
    <row r="102" spans="1:14" ht="15">
      <c r="A102" s="88"/>
      <c r="B102" s="100">
        <v>43579</v>
      </c>
      <c r="C102" s="103" t="s">
        <v>68</v>
      </c>
      <c r="D102" s="257"/>
      <c r="E102" s="257"/>
      <c r="F102" s="115">
        <f>5000*1+1000*84+500*50+100*7+50*3+10*1</f>
        <v>114860</v>
      </c>
      <c r="G102" s="101"/>
      <c r="H102" s="269"/>
      <c r="I102" s="9">
        <v>114860</v>
      </c>
      <c r="J102" s="11"/>
      <c r="K102" s="10">
        <f t="shared" si="1"/>
        <v>-475715</v>
      </c>
      <c r="L102" s="121">
        <v>-2800</v>
      </c>
      <c r="M102" s="121">
        <v>-2800</v>
      </c>
      <c r="N102" s="88"/>
    </row>
    <row r="103" spans="1:14" ht="15">
      <c r="A103" s="88"/>
      <c r="B103" s="16">
        <v>43588</v>
      </c>
      <c r="C103" s="15" t="s">
        <v>287</v>
      </c>
      <c r="D103" s="14" t="s">
        <v>2</v>
      </c>
      <c r="E103" s="118" t="s">
        <v>272</v>
      </c>
      <c r="F103" s="290" t="s">
        <v>282</v>
      </c>
      <c r="G103" s="220" t="s">
        <v>283</v>
      </c>
      <c r="H103" s="268">
        <v>27550</v>
      </c>
      <c r="I103" s="9"/>
      <c r="J103" s="11"/>
      <c r="K103" s="10">
        <f t="shared" si="1"/>
        <v>-503265</v>
      </c>
      <c r="L103" s="5">
        <v>800</v>
      </c>
      <c r="M103" s="5">
        <v>800</v>
      </c>
      <c r="N103" s="88"/>
    </row>
    <row r="104" spans="1:14" ht="15">
      <c r="A104" s="88"/>
      <c r="B104" s="16">
        <v>43588</v>
      </c>
      <c r="C104" s="15" t="s">
        <v>288</v>
      </c>
      <c r="D104" s="14" t="s">
        <v>2</v>
      </c>
      <c r="E104" s="118" t="s">
        <v>272</v>
      </c>
      <c r="F104" s="290" t="s">
        <v>284</v>
      </c>
      <c r="G104" s="220" t="s">
        <v>283</v>
      </c>
      <c r="H104" s="268">
        <v>27550</v>
      </c>
      <c r="I104" s="9"/>
      <c r="J104" s="11"/>
      <c r="K104" s="10">
        <f t="shared" si="1"/>
        <v>-530815</v>
      </c>
      <c r="L104" s="5">
        <v>800</v>
      </c>
      <c r="M104" s="5">
        <v>800</v>
      </c>
      <c r="N104" s="88"/>
    </row>
    <row r="105" spans="1:14" ht="15">
      <c r="A105" s="88"/>
      <c r="B105" s="100">
        <v>43591</v>
      </c>
      <c r="C105" s="103" t="s">
        <v>68</v>
      </c>
      <c r="D105" s="257"/>
      <c r="E105" s="257"/>
      <c r="F105" s="115">
        <f>5000*6+1000*70</f>
        <v>100000</v>
      </c>
      <c r="G105" s="101"/>
      <c r="H105" s="269"/>
      <c r="I105" s="9">
        <v>100000</v>
      </c>
      <c r="J105" s="11"/>
      <c r="K105" s="10">
        <f t="shared" si="1"/>
        <v>-430815</v>
      </c>
      <c r="N105" s="88"/>
    </row>
    <row r="106" spans="1:14" ht="15">
      <c r="A106" s="88"/>
      <c r="B106" s="16">
        <v>43593</v>
      </c>
      <c r="C106" s="15" t="s">
        <v>289</v>
      </c>
      <c r="D106" s="14" t="s">
        <v>69</v>
      </c>
      <c r="E106" s="118" t="s">
        <v>286</v>
      </c>
      <c r="F106" s="290" t="s">
        <v>285</v>
      </c>
      <c r="G106" s="220" t="s">
        <v>119</v>
      </c>
      <c r="H106" s="268">
        <v>19300</v>
      </c>
      <c r="I106" s="9"/>
      <c r="J106" s="11"/>
      <c r="K106" s="10">
        <f t="shared" si="1"/>
        <v>-450115</v>
      </c>
      <c r="N106" s="88"/>
    </row>
    <row r="107" spans="1:14" ht="15">
      <c r="A107" s="88"/>
      <c r="B107" s="16">
        <v>43602</v>
      </c>
      <c r="C107" s="15" t="s">
        <v>293</v>
      </c>
      <c r="D107" s="14" t="s">
        <v>0</v>
      </c>
      <c r="E107" s="118" t="s">
        <v>290</v>
      </c>
      <c r="F107" s="290" t="s">
        <v>291</v>
      </c>
      <c r="G107" s="220" t="s">
        <v>59</v>
      </c>
      <c r="H107" s="268">
        <v>38000</v>
      </c>
      <c r="I107" s="9"/>
      <c r="J107" s="11"/>
      <c r="K107" s="10">
        <f t="shared" si="1"/>
        <v>-488115</v>
      </c>
      <c r="N107" s="88"/>
    </row>
    <row r="108" spans="1:14" ht="15">
      <c r="A108" s="88"/>
      <c r="B108" s="16">
        <v>43602</v>
      </c>
      <c r="C108" s="15" t="s">
        <v>294</v>
      </c>
      <c r="D108" s="14" t="s">
        <v>0</v>
      </c>
      <c r="E108" s="118" t="s">
        <v>290</v>
      </c>
      <c r="F108" s="290" t="s">
        <v>292</v>
      </c>
      <c r="G108" s="220" t="s">
        <v>1</v>
      </c>
      <c r="H108" s="268">
        <v>38000</v>
      </c>
      <c r="I108" s="9"/>
      <c r="J108" s="11"/>
      <c r="K108" s="10">
        <f t="shared" si="1"/>
        <v>-526115</v>
      </c>
      <c r="N108" s="88"/>
    </row>
    <row r="109" spans="1:14" ht="15">
      <c r="A109" s="88"/>
      <c r="B109" s="100">
        <v>43602</v>
      </c>
      <c r="C109" s="103" t="s">
        <v>68</v>
      </c>
      <c r="D109" s="257"/>
      <c r="E109" s="257"/>
      <c r="F109" s="115">
        <f>5000*15+1000*42+500*66</f>
        <v>150000</v>
      </c>
      <c r="G109" s="101"/>
      <c r="H109" s="269"/>
      <c r="I109" s="9">
        <v>150000</v>
      </c>
      <c r="J109" s="11"/>
      <c r="K109" s="10">
        <f t="shared" si="1"/>
        <v>-376115</v>
      </c>
      <c r="N109" s="88"/>
    </row>
    <row r="110" spans="1:14" ht="15">
      <c r="A110" s="88"/>
      <c r="B110" s="16">
        <v>43607</v>
      </c>
      <c r="C110" s="15" t="s">
        <v>296</v>
      </c>
      <c r="D110" s="14" t="s">
        <v>69</v>
      </c>
      <c r="E110" s="17" t="s">
        <v>298</v>
      </c>
      <c r="F110" s="283" t="s">
        <v>299</v>
      </c>
      <c r="G110" s="220" t="s">
        <v>112</v>
      </c>
      <c r="H110" s="268">
        <v>23300</v>
      </c>
      <c r="I110" s="9"/>
      <c r="J110" s="11"/>
      <c r="K110" s="10">
        <f t="shared" si="1"/>
        <v>-399415</v>
      </c>
      <c r="N110" s="88"/>
    </row>
    <row r="111" spans="1:14" ht="15">
      <c r="A111" s="88"/>
      <c r="B111" s="16">
        <v>43607</v>
      </c>
      <c r="C111" s="15" t="s">
        <v>297</v>
      </c>
      <c r="D111" s="14" t="s">
        <v>69</v>
      </c>
      <c r="E111" s="118" t="s">
        <v>276</v>
      </c>
      <c r="F111" s="290" t="s">
        <v>295</v>
      </c>
      <c r="G111" s="220" t="s">
        <v>112</v>
      </c>
      <c r="H111" s="270">
        <v>18300</v>
      </c>
      <c r="I111" s="9"/>
      <c r="J111" s="11"/>
      <c r="K111" s="10">
        <f t="shared" si="1"/>
        <v>-417715</v>
      </c>
      <c r="N111" s="88"/>
    </row>
    <row r="112" spans="1:14" ht="15">
      <c r="A112" s="88"/>
      <c r="B112" s="132">
        <v>43608</v>
      </c>
      <c r="C112" s="15" t="s">
        <v>309</v>
      </c>
      <c r="D112" s="99" t="s">
        <v>300</v>
      </c>
      <c r="E112" s="118" t="s">
        <v>301</v>
      </c>
      <c r="F112" s="290" t="s">
        <v>302</v>
      </c>
      <c r="G112" s="126" t="s">
        <v>307</v>
      </c>
      <c r="H112" s="133">
        <v>26600</v>
      </c>
      <c r="I112" s="9"/>
      <c r="J112" s="11"/>
      <c r="K112" s="10">
        <f t="shared" si="1"/>
        <v>-444315</v>
      </c>
      <c r="N112" s="88"/>
    </row>
    <row r="113" spans="1:14" ht="15">
      <c r="A113" s="88"/>
      <c r="B113" s="132">
        <v>43608</v>
      </c>
      <c r="C113" s="15" t="s">
        <v>310</v>
      </c>
      <c r="D113" s="14" t="s">
        <v>2</v>
      </c>
      <c r="E113" s="118" t="s">
        <v>303</v>
      </c>
      <c r="F113" s="290" t="s">
        <v>304</v>
      </c>
      <c r="G113" s="126" t="s">
        <v>59</v>
      </c>
      <c r="H113" s="133">
        <v>20430</v>
      </c>
      <c r="I113" s="9"/>
      <c r="J113" s="11"/>
      <c r="K113" s="10">
        <f t="shared" si="1"/>
        <v>-464745</v>
      </c>
      <c r="N113" s="88"/>
    </row>
    <row r="114" spans="1:14" ht="15">
      <c r="A114" s="88"/>
      <c r="B114" s="132">
        <v>43614</v>
      </c>
      <c r="C114" s="15" t="s">
        <v>311</v>
      </c>
      <c r="D114" s="14" t="s">
        <v>2</v>
      </c>
      <c r="E114" s="17" t="s">
        <v>305</v>
      </c>
      <c r="F114" s="283" t="s">
        <v>306</v>
      </c>
      <c r="G114" s="126" t="s">
        <v>308</v>
      </c>
      <c r="H114" s="133">
        <v>29450</v>
      </c>
      <c r="I114" s="9"/>
      <c r="J114" s="11"/>
      <c r="K114" s="10">
        <f t="shared" si="1"/>
        <v>-494195</v>
      </c>
      <c r="N114" s="88"/>
    </row>
    <row r="115" spans="1:14" ht="15">
      <c r="A115" s="88"/>
      <c r="B115" s="16">
        <v>43615</v>
      </c>
      <c r="C115" s="134" t="s">
        <v>319</v>
      </c>
      <c r="D115" s="14" t="s">
        <v>0</v>
      </c>
      <c r="E115" s="118" t="s">
        <v>312</v>
      </c>
      <c r="F115" s="290"/>
      <c r="G115" s="126" t="s">
        <v>320</v>
      </c>
      <c r="H115" s="268">
        <v>28500</v>
      </c>
      <c r="I115" s="9"/>
      <c r="J115" s="11"/>
      <c r="K115" s="10">
        <f t="shared" si="1"/>
        <v>-522695</v>
      </c>
      <c r="L115" s="5">
        <v>296280</v>
      </c>
      <c r="N115" s="88"/>
    </row>
    <row r="116" spans="1:14" ht="15">
      <c r="A116" s="88"/>
      <c r="B116" s="16">
        <v>43620</v>
      </c>
      <c r="C116" s="134" t="s">
        <v>316</v>
      </c>
      <c r="D116" s="14" t="s">
        <v>0</v>
      </c>
      <c r="E116" s="118" t="s">
        <v>312</v>
      </c>
      <c r="F116" s="290" t="s">
        <v>313</v>
      </c>
      <c r="G116" s="126" t="s">
        <v>59</v>
      </c>
      <c r="H116" s="268">
        <v>28500</v>
      </c>
      <c r="I116" s="9"/>
      <c r="J116" s="11"/>
      <c r="K116" s="10">
        <f t="shared" si="1"/>
        <v>-551195</v>
      </c>
      <c r="N116" s="88"/>
    </row>
    <row r="117" spans="1:14" ht="15">
      <c r="A117" s="88"/>
      <c r="B117" s="16">
        <v>43620</v>
      </c>
      <c r="C117" s="134" t="s">
        <v>317</v>
      </c>
      <c r="D117" s="14" t="s">
        <v>0</v>
      </c>
      <c r="E117" s="118" t="s">
        <v>7</v>
      </c>
      <c r="F117" s="290" t="s">
        <v>314</v>
      </c>
      <c r="G117" s="126" t="s">
        <v>59</v>
      </c>
      <c r="H117" s="268">
        <v>26600</v>
      </c>
      <c r="I117" s="9"/>
      <c r="J117" s="11"/>
      <c r="K117" s="10">
        <f t="shared" si="1"/>
        <v>-577795</v>
      </c>
      <c r="N117" s="88"/>
    </row>
    <row r="118" spans="1:14" ht="15">
      <c r="A118" s="88"/>
      <c r="B118" s="16">
        <v>43624</v>
      </c>
      <c r="C118" s="134" t="s">
        <v>318</v>
      </c>
      <c r="D118" s="14" t="s">
        <v>61</v>
      </c>
      <c r="E118" s="118" t="s">
        <v>178</v>
      </c>
      <c r="F118" s="290" t="s">
        <v>315</v>
      </c>
      <c r="G118" s="126" t="s">
        <v>59</v>
      </c>
      <c r="H118" s="268">
        <v>10930</v>
      </c>
      <c r="I118" s="9"/>
      <c r="J118" s="11"/>
      <c r="K118" s="10">
        <f t="shared" si="1"/>
        <v>-588725</v>
      </c>
      <c r="N118" s="88"/>
    </row>
    <row r="119" spans="1:14" ht="15">
      <c r="A119" s="88"/>
      <c r="B119" s="16">
        <v>43630</v>
      </c>
      <c r="C119" s="15" t="s">
        <v>323</v>
      </c>
      <c r="D119" s="14" t="s">
        <v>69</v>
      </c>
      <c r="E119" s="118" t="s">
        <v>321</v>
      </c>
      <c r="F119" s="290" t="s">
        <v>322</v>
      </c>
      <c r="G119" s="220" t="s">
        <v>112</v>
      </c>
      <c r="H119" s="268">
        <v>24300</v>
      </c>
      <c r="I119" s="9"/>
      <c r="J119" s="11"/>
      <c r="K119" s="10">
        <f t="shared" si="1"/>
        <v>-613025</v>
      </c>
      <c r="N119" s="88"/>
    </row>
    <row r="120" spans="1:14" ht="15">
      <c r="A120" s="88"/>
      <c r="B120" s="16">
        <v>43630</v>
      </c>
      <c r="C120" s="15" t="s">
        <v>329</v>
      </c>
      <c r="D120" s="119" t="s">
        <v>328</v>
      </c>
      <c r="E120" s="118" t="s">
        <v>324</v>
      </c>
      <c r="F120" s="290" t="s">
        <v>325</v>
      </c>
      <c r="G120" s="220" t="s">
        <v>1</v>
      </c>
      <c r="H120" s="268">
        <v>17000</v>
      </c>
      <c r="I120" s="9"/>
      <c r="J120" s="11"/>
      <c r="K120" s="10">
        <f t="shared" si="1"/>
        <v>-630025</v>
      </c>
      <c r="N120" s="88"/>
    </row>
    <row r="121" spans="1:14" ht="15">
      <c r="A121" s="88"/>
      <c r="B121" s="16">
        <v>43631</v>
      </c>
      <c r="C121" s="15" t="s">
        <v>330</v>
      </c>
      <c r="D121" s="14" t="s">
        <v>69</v>
      </c>
      <c r="E121" s="118" t="s">
        <v>326</v>
      </c>
      <c r="F121" s="290" t="s">
        <v>327</v>
      </c>
      <c r="G121" s="220" t="s">
        <v>59</v>
      </c>
      <c r="H121" s="268">
        <v>18300</v>
      </c>
      <c r="I121" s="9"/>
      <c r="J121" s="11"/>
      <c r="K121" s="10">
        <f t="shared" si="1"/>
        <v>-648325</v>
      </c>
      <c r="N121" s="88"/>
    </row>
    <row r="122" spans="1:14" ht="15">
      <c r="A122" s="88"/>
      <c r="B122" s="16">
        <v>43634</v>
      </c>
      <c r="C122" s="15" t="s">
        <v>331</v>
      </c>
      <c r="D122" s="14" t="s">
        <v>69</v>
      </c>
      <c r="E122" s="124" t="s">
        <v>334</v>
      </c>
      <c r="F122" s="290" t="s">
        <v>335</v>
      </c>
      <c r="G122" s="220" t="s">
        <v>1</v>
      </c>
      <c r="H122" s="268">
        <v>52000</v>
      </c>
      <c r="I122" s="9"/>
      <c r="J122" s="11"/>
      <c r="K122" s="10">
        <f t="shared" si="1"/>
        <v>-700325</v>
      </c>
      <c r="N122" s="88"/>
    </row>
    <row r="123" spans="1:14" ht="15">
      <c r="A123" s="88"/>
      <c r="B123" s="16">
        <v>43638</v>
      </c>
      <c r="C123" s="15" t="s">
        <v>332</v>
      </c>
      <c r="D123" s="14" t="s">
        <v>2</v>
      </c>
      <c r="E123" s="124" t="s">
        <v>336</v>
      </c>
      <c r="F123" s="290" t="s">
        <v>337</v>
      </c>
      <c r="G123" s="220" t="s">
        <v>338</v>
      </c>
      <c r="H123" s="268">
        <v>20430</v>
      </c>
      <c r="I123" s="9"/>
      <c r="J123" s="11"/>
      <c r="K123" s="10">
        <f t="shared" si="1"/>
        <v>-720755</v>
      </c>
      <c r="N123" s="88"/>
    </row>
    <row r="124" spans="1:14" ht="15">
      <c r="A124" s="88"/>
      <c r="B124" s="16">
        <v>43640</v>
      </c>
      <c r="C124" s="15" t="s">
        <v>340</v>
      </c>
      <c r="D124" s="14" t="s">
        <v>69</v>
      </c>
      <c r="E124" s="124" t="s">
        <v>333</v>
      </c>
      <c r="F124" s="290" t="s">
        <v>339</v>
      </c>
      <c r="G124" s="220" t="s">
        <v>112</v>
      </c>
      <c r="H124" s="268">
        <v>24200</v>
      </c>
      <c r="I124" s="9"/>
      <c r="J124" s="11"/>
      <c r="K124" s="10">
        <f t="shared" si="1"/>
        <v>-744955</v>
      </c>
      <c r="N124" s="88"/>
    </row>
    <row r="125" spans="1:14" ht="15">
      <c r="A125" s="88"/>
      <c r="B125" s="100">
        <v>43641</v>
      </c>
      <c r="C125" s="103" t="s">
        <v>68</v>
      </c>
      <c r="D125" s="257"/>
      <c r="E125" s="257"/>
      <c r="F125" s="115">
        <f>5000*6+1000*20</f>
        <v>50000</v>
      </c>
      <c r="G125" s="101"/>
      <c r="H125" s="269"/>
      <c r="I125" s="9">
        <v>50000</v>
      </c>
      <c r="J125" s="11"/>
      <c r="K125" s="10">
        <f t="shared" si="1"/>
        <v>-694955</v>
      </c>
      <c r="N125" s="88"/>
    </row>
    <row r="126" spans="1:14" ht="15">
      <c r="A126" s="88"/>
      <c r="B126" s="16">
        <v>43642</v>
      </c>
      <c r="C126" s="15" t="s">
        <v>347</v>
      </c>
      <c r="D126" s="14" t="s">
        <v>0</v>
      </c>
      <c r="E126" s="17" t="s">
        <v>341</v>
      </c>
      <c r="F126" s="283" t="s">
        <v>342</v>
      </c>
      <c r="G126" s="126" t="s">
        <v>112</v>
      </c>
      <c r="H126" s="268">
        <v>20430</v>
      </c>
      <c r="I126" s="9"/>
      <c r="J126" s="11"/>
      <c r="K126" s="10">
        <f t="shared" si="1"/>
        <v>-715385</v>
      </c>
      <c r="N126" s="88"/>
    </row>
    <row r="127" spans="1:14" ht="15">
      <c r="A127" s="88"/>
      <c r="B127" s="16">
        <v>43643</v>
      </c>
      <c r="C127" s="15" t="s">
        <v>348</v>
      </c>
      <c r="D127" s="14" t="s">
        <v>2</v>
      </c>
      <c r="E127" s="17" t="s">
        <v>343</v>
      </c>
      <c r="F127" s="283" t="s">
        <v>344</v>
      </c>
      <c r="G127" s="126" t="s">
        <v>59</v>
      </c>
      <c r="H127" s="268">
        <v>25650</v>
      </c>
      <c r="I127" s="9"/>
      <c r="J127" s="11"/>
      <c r="K127" s="10">
        <f t="shared" si="1"/>
        <v>-741035</v>
      </c>
      <c r="N127" s="88"/>
    </row>
    <row r="128" spans="1:14" ht="15">
      <c r="A128" s="88"/>
      <c r="B128" s="16">
        <v>43645</v>
      </c>
      <c r="C128" s="15" t="s">
        <v>349</v>
      </c>
      <c r="D128" s="14" t="s">
        <v>69</v>
      </c>
      <c r="E128" s="17" t="s">
        <v>345</v>
      </c>
      <c r="F128" s="283" t="s">
        <v>346</v>
      </c>
      <c r="G128" s="126"/>
      <c r="H128" s="268">
        <v>18300</v>
      </c>
      <c r="I128" s="9"/>
      <c r="J128" s="11"/>
      <c r="K128" s="10">
        <f t="shared" si="1"/>
        <v>-759335</v>
      </c>
      <c r="L128" s="5">
        <v>286640</v>
      </c>
      <c r="N128" s="88"/>
    </row>
    <row r="129" spans="1:14" ht="15">
      <c r="A129" s="88"/>
      <c r="B129" s="100">
        <v>43649</v>
      </c>
      <c r="C129" s="103" t="s">
        <v>68</v>
      </c>
      <c r="D129" s="257"/>
      <c r="E129" s="257"/>
      <c r="F129" s="115">
        <f>5000*7+1000*35+500*47</f>
        <v>93500</v>
      </c>
      <c r="G129" s="101"/>
      <c r="H129" s="269"/>
      <c r="I129" s="9">
        <v>93500</v>
      </c>
      <c r="J129" s="11"/>
      <c r="K129" s="10">
        <f t="shared" si="1"/>
        <v>-665835</v>
      </c>
      <c r="N129" s="88"/>
    </row>
    <row r="130" spans="1:14" ht="15">
      <c r="A130" s="88"/>
      <c r="B130" s="16">
        <v>43649</v>
      </c>
      <c r="C130" s="15" t="s">
        <v>354</v>
      </c>
      <c r="D130" s="14" t="s">
        <v>2</v>
      </c>
      <c r="E130" s="17" t="s">
        <v>343</v>
      </c>
      <c r="F130" s="283" t="s">
        <v>356</v>
      </c>
      <c r="G130" s="12" t="s">
        <v>1</v>
      </c>
      <c r="H130" s="268">
        <v>25920</v>
      </c>
      <c r="I130" s="9"/>
      <c r="J130" s="11"/>
      <c r="K130" s="10">
        <f t="shared" si="1"/>
        <v>-691755</v>
      </c>
      <c r="N130" s="88"/>
    </row>
    <row r="131" spans="1:14" ht="15">
      <c r="A131" s="88"/>
      <c r="B131" s="16">
        <v>43654</v>
      </c>
      <c r="C131" s="109" t="s">
        <v>355</v>
      </c>
      <c r="D131" s="14" t="s">
        <v>69</v>
      </c>
      <c r="E131" s="13" t="s">
        <v>353</v>
      </c>
      <c r="F131" s="283" t="s">
        <v>357</v>
      </c>
      <c r="G131" s="12" t="s">
        <v>119</v>
      </c>
      <c r="H131" s="268">
        <f>38000+100</f>
        <v>38100</v>
      </c>
      <c r="I131" s="9"/>
      <c r="J131" s="11"/>
      <c r="K131" s="10">
        <f t="shared" si="1"/>
        <v>-729855</v>
      </c>
      <c r="N131" s="88"/>
    </row>
    <row r="132" spans="1:14" ht="15">
      <c r="A132" s="88"/>
      <c r="B132" s="16">
        <v>43655</v>
      </c>
      <c r="C132" s="15" t="s">
        <v>389</v>
      </c>
      <c r="D132" s="14" t="s">
        <v>69</v>
      </c>
      <c r="E132" s="124" t="s">
        <v>345</v>
      </c>
      <c r="F132" s="290" t="s">
        <v>378</v>
      </c>
      <c r="G132" s="220" t="s">
        <v>112</v>
      </c>
      <c r="H132" s="268">
        <v>18300</v>
      </c>
      <c r="I132" s="9"/>
      <c r="J132" s="11"/>
      <c r="K132" s="10">
        <f t="shared" si="1"/>
        <v>-748155</v>
      </c>
      <c r="N132" s="88"/>
    </row>
    <row r="133" spans="1:14" ht="15">
      <c r="A133" s="88"/>
      <c r="B133" s="16">
        <v>43655</v>
      </c>
      <c r="C133" s="15" t="s">
        <v>390</v>
      </c>
      <c r="D133" s="14" t="s">
        <v>69</v>
      </c>
      <c r="E133" s="124" t="s">
        <v>380</v>
      </c>
      <c r="F133" s="290" t="s">
        <v>381</v>
      </c>
      <c r="G133" s="220" t="s">
        <v>382</v>
      </c>
      <c r="H133" s="268">
        <v>39360</v>
      </c>
      <c r="I133" s="9"/>
      <c r="J133" s="11"/>
      <c r="K133" s="10">
        <f t="shared" si="1"/>
        <v>-787515</v>
      </c>
      <c r="N133" s="88"/>
    </row>
    <row r="134" spans="1:14" ht="15">
      <c r="A134" s="88"/>
      <c r="B134" s="16">
        <v>43656</v>
      </c>
      <c r="C134" s="15" t="s">
        <v>391</v>
      </c>
      <c r="D134" s="14" t="s">
        <v>69</v>
      </c>
      <c r="E134" s="124" t="s">
        <v>358</v>
      </c>
      <c r="F134" s="290" t="s">
        <v>379</v>
      </c>
      <c r="G134" s="220"/>
      <c r="H134" s="268">
        <v>24200</v>
      </c>
      <c r="I134" s="9"/>
      <c r="J134" s="11"/>
      <c r="K134" s="10">
        <f t="shared" si="1"/>
        <v>-811715</v>
      </c>
      <c r="N134" s="88"/>
    </row>
    <row r="135" spans="1:14" ht="15">
      <c r="A135" s="88"/>
      <c r="B135" s="100">
        <v>43656</v>
      </c>
      <c r="C135" s="103" t="s">
        <v>68</v>
      </c>
      <c r="D135" s="257"/>
      <c r="E135" s="257"/>
      <c r="F135" s="115">
        <f>5000*9+1000*25</f>
        <v>70000</v>
      </c>
      <c r="G135" s="101"/>
      <c r="H135" s="269"/>
      <c r="I135" s="9">
        <v>70000</v>
      </c>
      <c r="J135" s="11"/>
      <c r="K135" s="10">
        <f t="shared" si="1"/>
        <v>-741715</v>
      </c>
      <c r="N135" s="88"/>
    </row>
    <row r="136" spans="1:14" ht="15">
      <c r="A136" s="88"/>
      <c r="B136" s="16">
        <v>43657</v>
      </c>
      <c r="C136" s="15" t="s">
        <v>392</v>
      </c>
      <c r="D136" s="14" t="s">
        <v>69</v>
      </c>
      <c r="E136" s="124" t="s">
        <v>345</v>
      </c>
      <c r="F136" s="290" t="s">
        <v>383</v>
      </c>
      <c r="G136" s="220" t="s">
        <v>59</v>
      </c>
      <c r="H136" s="268">
        <v>18300</v>
      </c>
      <c r="I136" s="9"/>
      <c r="J136" s="11"/>
      <c r="K136" s="10">
        <f t="shared" si="1"/>
        <v>-760015</v>
      </c>
      <c r="N136" s="88"/>
    </row>
    <row r="137" spans="1:14" ht="15">
      <c r="A137" s="88"/>
      <c r="B137" s="100">
        <v>43661</v>
      </c>
      <c r="C137" s="103" t="s">
        <v>68</v>
      </c>
      <c r="D137" s="257"/>
      <c r="E137" s="257"/>
      <c r="F137" s="115" t="s">
        <v>359</v>
      </c>
      <c r="G137" s="101"/>
      <c r="H137" s="269"/>
      <c r="I137" s="9">
        <v>38000</v>
      </c>
      <c r="J137" s="11"/>
      <c r="K137" s="10">
        <f t="shared" ref="K137:K200" si="2">K136-H137+I137</f>
        <v>-722015</v>
      </c>
      <c r="N137" s="88"/>
    </row>
    <row r="138" spans="1:14" ht="15">
      <c r="A138" s="88"/>
      <c r="B138" s="16">
        <v>43661</v>
      </c>
      <c r="C138" s="15" t="s">
        <v>393</v>
      </c>
      <c r="D138" s="14" t="s">
        <v>69</v>
      </c>
      <c r="E138" s="13" t="s">
        <v>353</v>
      </c>
      <c r="F138" s="282">
        <v>86133042997278</v>
      </c>
      <c r="G138" s="12"/>
      <c r="H138" s="268">
        <v>38000</v>
      </c>
      <c r="I138" s="9"/>
      <c r="J138" s="11"/>
      <c r="K138" s="10">
        <f t="shared" si="2"/>
        <v>-760015</v>
      </c>
      <c r="N138" s="88"/>
    </row>
    <row r="139" spans="1:14" ht="15">
      <c r="A139" s="88"/>
      <c r="B139" s="16">
        <v>43661</v>
      </c>
      <c r="C139" s="15" t="s">
        <v>394</v>
      </c>
      <c r="D139" s="14" t="s">
        <v>69</v>
      </c>
      <c r="E139" s="124" t="s">
        <v>384</v>
      </c>
      <c r="F139" s="290" t="s">
        <v>385</v>
      </c>
      <c r="G139" s="224" t="s">
        <v>386</v>
      </c>
      <c r="H139" s="268">
        <v>28500</v>
      </c>
      <c r="I139" s="9"/>
      <c r="J139" s="11"/>
      <c r="K139" s="10">
        <f t="shared" si="2"/>
        <v>-788515</v>
      </c>
      <c r="N139" s="88"/>
    </row>
    <row r="140" spans="1:14" ht="15">
      <c r="A140" s="88"/>
      <c r="B140" s="100">
        <v>43663</v>
      </c>
      <c r="C140" s="103" t="s">
        <v>68</v>
      </c>
      <c r="D140" s="257"/>
      <c r="E140" s="257"/>
      <c r="F140" s="115">
        <v>32000</v>
      </c>
      <c r="G140" s="101"/>
      <c r="H140" s="269"/>
      <c r="I140" s="9">
        <v>32000</v>
      </c>
      <c r="J140" s="11"/>
      <c r="K140" s="10">
        <f t="shared" si="2"/>
        <v>-756515</v>
      </c>
      <c r="N140" s="88"/>
    </row>
    <row r="141" spans="1:14" ht="15">
      <c r="A141" s="88"/>
      <c r="B141" s="16">
        <v>43664</v>
      </c>
      <c r="C141" s="15" t="s">
        <v>395</v>
      </c>
      <c r="D141" s="14" t="s">
        <v>0</v>
      </c>
      <c r="E141" s="118" t="s">
        <v>387</v>
      </c>
      <c r="F141" s="290" t="s">
        <v>388</v>
      </c>
      <c r="G141" s="224" t="s">
        <v>59</v>
      </c>
      <c r="H141" s="268">
        <v>22330</v>
      </c>
      <c r="I141" s="9"/>
      <c r="J141" s="11"/>
      <c r="K141" s="10">
        <f t="shared" si="2"/>
        <v>-778845</v>
      </c>
      <c r="N141" s="88"/>
    </row>
    <row r="142" spans="1:14" ht="15">
      <c r="A142" s="88"/>
      <c r="B142" s="16">
        <v>43666</v>
      </c>
      <c r="C142" s="15" t="s">
        <v>402</v>
      </c>
      <c r="D142" s="14" t="s">
        <v>2</v>
      </c>
      <c r="E142" s="17" t="s">
        <v>396</v>
      </c>
      <c r="F142" s="283" t="s">
        <v>397</v>
      </c>
      <c r="G142" s="17" t="s">
        <v>398</v>
      </c>
      <c r="H142" s="268">
        <f>32640+100</f>
        <v>32740</v>
      </c>
      <c r="I142" s="9"/>
      <c r="J142" s="11"/>
      <c r="K142" s="10">
        <f t="shared" si="2"/>
        <v>-811585</v>
      </c>
      <c r="N142" s="88"/>
    </row>
    <row r="143" spans="1:14" ht="15">
      <c r="A143" s="88"/>
      <c r="B143" s="16">
        <v>43666</v>
      </c>
      <c r="C143" s="109" t="s">
        <v>403</v>
      </c>
      <c r="D143" s="14" t="s">
        <v>69</v>
      </c>
      <c r="E143" s="17" t="s">
        <v>345</v>
      </c>
      <c r="F143" s="283" t="s">
        <v>399</v>
      </c>
      <c r="G143" s="17" t="s">
        <v>112</v>
      </c>
      <c r="H143" s="268">
        <f>18300+100</f>
        <v>18400</v>
      </c>
      <c r="I143" s="9"/>
      <c r="J143" s="11"/>
      <c r="K143" s="10">
        <f t="shared" si="2"/>
        <v>-829985</v>
      </c>
      <c r="N143" s="88"/>
    </row>
    <row r="144" spans="1:14" ht="15">
      <c r="A144" s="88"/>
      <c r="B144" s="16">
        <v>43666</v>
      </c>
      <c r="C144" s="15" t="s">
        <v>404</v>
      </c>
      <c r="D144" s="14" t="s">
        <v>0</v>
      </c>
      <c r="E144" s="17" t="s">
        <v>400</v>
      </c>
      <c r="F144" s="283" t="s">
        <v>401</v>
      </c>
      <c r="G144" s="17" t="s">
        <v>59</v>
      </c>
      <c r="H144" s="268">
        <v>22330</v>
      </c>
      <c r="I144" s="9"/>
      <c r="J144" s="11"/>
      <c r="K144" s="10">
        <f t="shared" si="2"/>
        <v>-852315</v>
      </c>
      <c r="N144" s="88"/>
    </row>
    <row r="145" spans="1:14" ht="15">
      <c r="A145" s="88"/>
      <c r="B145" s="100">
        <v>43668</v>
      </c>
      <c r="C145" s="103" t="s">
        <v>68</v>
      </c>
      <c r="D145" s="257"/>
      <c r="E145" s="257"/>
      <c r="F145" s="115">
        <f>5000*1+1000*70</f>
        <v>75000</v>
      </c>
      <c r="G145" s="101"/>
      <c r="H145" s="269"/>
      <c r="I145" s="9">
        <v>75000</v>
      </c>
      <c r="J145" s="11"/>
      <c r="K145" s="10">
        <f t="shared" si="2"/>
        <v>-777315</v>
      </c>
      <c r="N145" s="88"/>
    </row>
    <row r="146" spans="1:14" ht="15">
      <c r="A146" s="88"/>
      <c r="B146" s="100">
        <v>43668</v>
      </c>
      <c r="C146" s="103" t="s">
        <v>68</v>
      </c>
      <c r="D146" s="257"/>
      <c r="E146" s="257"/>
      <c r="F146" s="115">
        <v>45000</v>
      </c>
      <c r="G146" s="101"/>
      <c r="H146" s="269"/>
      <c r="I146" s="9">
        <v>45000</v>
      </c>
      <c r="J146" s="11"/>
      <c r="K146" s="10">
        <f t="shared" si="2"/>
        <v>-732315</v>
      </c>
      <c r="N146" s="88"/>
    </row>
    <row r="147" spans="1:14" ht="15">
      <c r="A147" s="88"/>
      <c r="B147" s="100">
        <v>43668</v>
      </c>
      <c r="C147" s="103" t="s">
        <v>68</v>
      </c>
      <c r="D147" s="257"/>
      <c r="E147" s="257"/>
      <c r="F147" s="115">
        <v>75000</v>
      </c>
      <c r="G147" s="101"/>
      <c r="H147" s="269"/>
      <c r="I147" s="9">
        <v>75835</v>
      </c>
      <c r="J147" s="11"/>
      <c r="K147" s="10">
        <f t="shared" si="2"/>
        <v>-656480</v>
      </c>
      <c r="N147" s="88"/>
    </row>
    <row r="148" spans="1:14" ht="15">
      <c r="A148" s="88"/>
      <c r="B148" s="100">
        <v>43671</v>
      </c>
      <c r="C148" s="103" t="s">
        <v>68</v>
      </c>
      <c r="D148" s="257"/>
      <c r="E148" s="257"/>
      <c r="F148" s="115">
        <f>5000*6+1000*26+100*40</f>
        <v>60000</v>
      </c>
      <c r="G148" s="101"/>
      <c r="H148" s="269"/>
      <c r="I148" s="9">
        <v>60000</v>
      </c>
      <c r="J148" s="11"/>
      <c r="K148" s="10">
        <f t="shared" si="2"/>
        <v>-596480</v>
      </c>
      <c r="N148" s="88"/>
    </row>
    <row r="149" spans="1:14" ht="15">
      <c r="A149" s="88"/>
      <c r="B149" s="16">
        <v>43673</v>
      </c>
      <c r="C149" s="15" t="s">
        <v>411</v>
      </c>
      <c r="D149" s="119" t="s">
        <v>328</v>
      </c>
      <c r="E149" s="118" t="s">
        <v>324</v>
      </c>
      <c r="F149" s="290" t="s">
        <v>405</v>
      </c>
      <c r="G149" s="118" t="s">
        <v>406</v>
      </c>
      <c r="H149" s="268">
        <v>16320</v>
      </c>
      <c r="I149" s="9"/>
      <c r="J149" s="11"/>
      <c r="K149" s="10">
        <f t="shared" si="2"/>
        <v>-612800</v>
      </c>
      <c r="N149" s="88"/>
    </row>
    <row r="150" spans="1:14" ht="15">
      <c r="A150" s="88"/>
      <c r="B150" s="16">
        <v>43677</v>
      </c>
      <c r="C150" s="15" t="s">
        <v>412</v>
      </c>
      <c r="D150" s="14" t="s">
        <v>69</v>
      </c>
      <c r="E150" s="118" t="s">
        <v>407</v>
      </c>
      <c r="F150" s="290" t="s">
        <v>408</v>
      </c>
      <c r="G150" s="118" t="s">
        <v>1</v>
      </c>
      <c r="H150" s="268">
        <v>24200</v>
      </c>
      <c r="I150" s="9"/>
      <c r="J150" s="11"/>
      <c r="K150" s="10">
        <f t="shared" si="2"/>
        <v>-637000</v>
      </c>
      <c r="N150" s="88"/>
    </row>
    <row r="151" spans="1:14" ht="15">
      <c r="A151" s="88"/>
      <c r="B151" s="16">
        <v>43677</v>
      </c>
      <c r="C151" s="15" t="s">
        <v>413</v>
      </c>
      <c r="D151" s="14" t="s">
        <v>0</v>
      </c>
      <c r="E151" s="118" t="s">
        <v>409</v>
      </c>
      <c r="F151" s="290" t="s">
        <v>410</v>
      </c>
      <c r="G151" s="118"/>
      <c r="H151" s="268">
        <v>36860</v>
      </c>
      <c r="I151" s="9"/>
      <c r="J151" s="11"/>
      <c r="K151" s="10">
        <f t="shared" si="2"/>
        <v>-673860</v>
      </c>
      <c r="L151" s="5">
        <v>415740</v>
      </c>
      <c r="M151" s="221">
        <f>673860-L151</f>
        <v>258120</v>
      </c>
      <c r="N151" s="88"/>
    </row>
    <row r="152" spans="1:14" ht="15">
      <c r="A152" s="88"/>
      <c r="B152" s="16">
        <v>43665</v>
      </c>
      <c r="C152" s="15" t="s">
        <v>415</v>
      </c>
      <c r="D152" s="14" t="s">
        <v>61</v>
      </c>
      <c r="E152" s="17" t="s">
        <v>239</v>
      </c>
      <c r="F152" s="283" t="s">
        <v>414</v>
      </c>
      <c r="G152" s="17" t="s">
        <v>1</v>
      </c>
      <c r="H152" s="271">
        <v>11880</v>
      </c>
      <c r="I152" s="9"/>
      <c r="J152" s="11"/>
      <c r="K152" s="10">
        <f t="shared" si="2"/>
        <v>-685740</v>
      </c>
      <c r="N152" s="88"/>
    </row>
    <row r="153" spans="1:14" ht="15">
      <c r="A153" s="88"/>
      <c r="B153" s="222">
        <v>43682</v>
      </c>
      <c r="C153" s="15" t="s">
        <v>438</v>
      </c>
      <c r="D153" s="14" t="s">
        <v>69</v>
      </c>
      <c r="E153" s="118" t="s">
        <v>345</v>
      </c>
      <c r="F153" s="290" t="s">
        <v>421</v>
      </c>
      <c r="G153" s="118" t="s">
        <v>112</v>
      </c>
      <c r="H153" s="271">
        <v>18580</v>
      </c>
      <c r="I153" s="9"/>
      <c r="J153" s="11"/>
      <c r="K153" s="10">
        <f t="shared" si="2"/>
        <v>-704320</v>
      </c>
      <c r="N153" s="88"/>
    </row>
    <row r="154" spans="1:14" ht="15">
      <c r="A154" s="88"/>
      <c r="B154" s="222">
        <v>43682</v>
      </c>
      <c r="C154" s="15" t="s">
        <v>439</v>
      </c>
      <c r="D154" s="14" t="s">
        <v>69</v>
      </c>
      <c r="E154" s="118" t="s">
        <v>422</v>
      </c>
      <c r="F154" s="290" t="s">
        <v>423</v>
      </c>
      <c r="G154" s="118" t="s">
        <v>264</v>
      </c>
      <c r="H154" s="271">
        <v>28930</v>
      </c>
      <c r="I154" s="9"/>
      <c r="J154" s="11"/>
      <c r="K154" s="10">
        <f t="shared" si="2"/>
        <v>-733250</v>
      </c>
      <c r="N154" s="88"/>
    </row>
    <row r="155" spans="1:14" ht="15">
      <c r="A155" s="88"/>
      <c r="B155" s="222">
        <v>43682</v>
      </c>
      <c r="C155" s="15" t="s">
        <v>440</v>
      </c>
      <c r="D155" s="14" t="s">
        <v>69</v>
      </c>
      <c r="E155" s="118" t="s">
        <v>345</v>
      </c>
      <c r="F155" s="290" t="s">
        <v>420</v>
      </c>
      <c r="G155" s="118" t="s">
        <v>59</v>
      </c>
      <c r="H155" s="271">
        <v>18580</v>
      </c>
      <c r="I155" s="9"/>
      <c r="J155" s="11"/>
      <c r="K155" s="10">
        <f t="shared" si="2"/>
        <v>-751830</v>
      </c>
      <c r="N155" s="88"/>
    </row>
    <row r="156" spans="1:14" ht="15">
      <c r="A156" s="88"/>
      <c r="B156" s="222">
        <v>43682</v>
      </c>
      <c r="C156" s="15" t="s">
        <v>441</v>
      </c>
      <c r="D156" s="119" t="s">
        <v>328</v>
      </c>
      <c r="E156" s="118" t="s">
        <v>418</v>
      </c>
      <c r="F156" s="290" t="s">
        <v>419</v>
      </c>
      <c r="G156" s="118" t="s">
        <v>1</v>
      </c>
      <c r="H156" s="271">
        <v>17000</v>
      </c>
      <c r="I156" s="9"/>
      <c r="J156" s="11"/>
      <c r="K156" s="10">
        <f t="shared" si="2"/>
        <v>-768830</v>
      </c>
      <c r="N156" s="88"/>
    </row>
    <row r="157" spans="1:14" ht="15">
      <c r="A157" s="88"/>
      <c r="B157" s="222">
        <v>43683</v>
      </c>
      <c r="C157" s="15" t="s">
        <v>442</v>
      </c>
      <c r="D157" s="14" t="s">
        <v>2</v>
      </c>
      <c r="E157" s="118" t="s">
        <v>416</v>
      </c>
      <c r="F157" s="290" t="s">
        <v>417</v>
      </c>
      <c r="G157" s="118" t="s">
        <v>338</v>
      </c>
      <c r="H157" s="271">
        <v>20830</v>
      </c>
      <c r="I157" s="9"/>
      <c r="J157" s="11"/>
      <c r="K157" s="10">
        <f t="shared" si="2"/>
        <v>-789660</v>
      </c>
      <c r="N157" s="88"/>
    </row>
    <row r="158" spans="1:14" ht="15">
      <c r="A158" s="88"/>
      <c r="B158" s="222">
        <v>43684</v>
      </c>
      <c r="C158" s="15" t="s">
        <v>443</v>
      </c>
      <c r="D158" s="14" t="s">
        <v>0</v>
      </c>
      <c r="E158" s="118" t="s">
        <v>400</v>
      </c>
      <c r="F158" s="290" t="s">
        <v>424</v>
      </c>
      <c r="G158" s="118" t="s">
        <v>59</v>
      </c>
      <c r="H158" s="271">
        <v>21340</v>
      </c>
      <c r="I158" s="9"/>
      <c r="J158" s="11"/>
      <c r="K158" s="10">
        <f t="shared" si="2"/>
        <v>-811000</v>
      </c>
      <c r="N158" s="88"/>
    </row>
    <row r="159" spans="1:14" ht="15">
      <c r="A159" s="88"/>
      <c r="B159" s="222">
        <v>43684</v>
      </c>
      <c r="C159" s="15" t="s">
        <v>444</v>
      </c>
      <c r="D159" s="14" t="s">
        <v>0</v>
      </c>
      <c r="E159" s="118" t="s">
        <v>400</v>
      </c>
      <c r="F159" s="290" t="s">
        <v>426</v>
      </c>
      <c r="G159" s="118" t="s">
        <v>112</v>
      </c>
      <c r="H159" s="271">
        <v>21340</v>
      </c>
      <c r="I159" s="9"/>
      <c r="J159" s="11"/>
      <c r="K159" s="10">
        <f t="shared" si="2"/>
        <v>-832340</v>
      </c>
      <c r="N159" s="88"/>
    </row>
    <row r="160" spans="1:14" ht="15">
      <c r="A160" s="88"/>
      <c r="B160" s="222">
        <v>43684</v>
      </c>
      <c r="C160" s="15" t="s">
        <v>445</v>
      </c>
      <c r="D160" s="14" t="s">
        <v>0</v>
      </c>
      <c r="E160" s="118" t="s">
        <v>400</v>
      </c>
      <c r="F160" s="290" t="s">
        <v>425</v>
      </c>
      <c r="G160" s="118" t="s">
        <v>112</v>
      </c>
      <c r="H160" s="271">
        <v>21340</v>
      </c>
      <c r="I160" s="9"/>
      <c r="J160" s="11"/>
      <c r="K160" s="10">
        <f t="shared" si="2"/>
        <v>-853680</v>
      </c>
      <c r="N160" s="88"/>
    </row>
    <row r="161" spans="1:14" ht="15">
      <c r="A161" s="88"/>
      <c r="B161" s="222">
        <v>43685</v>
      </c>
      <c r="C161" s="15" t="s">
        <v>446</v>
      </c>
      <c r="D161" s="14" t="s">
        <v>152</v>
      </c>
      <c r="E161" s="118" t="s">
        <v>427</v>
      </c>
      <c r="F161" s="290" t="s">
        <v>428</v>
      </c>
      <c r="G161" s="118" t="s">
        <v>55</v>
      </c>
      <c r="H161" s="271">
        <v>23050</v>
      </c>
      <c r="I161" s="9"/>
      <c r="J161" s="11"/>
      <c r="K161" s="10">
        <f t="shared" si="2"/>
        <v>-876730</v>
      </c>
      <c r="N161" s="88"/>
    </row>
    <row r="162" spans="1:14" ht="15">
      <c r="A162" s="88"/>
      <c r="B162" s="222">
        <v>43686</v>
      </c>
      <c r="C162" s="15" t="s">
        <v>447</v>
      </c>
      <c r="D162" s="14" t="s">
        <v>0</v>
      </c>
      <c r="E162" s="118" t="s">
        <v>312</v>
      </c>
      <c r="F162" s="290" t="s">
        <v>430</v>
      </c>
      <c r="G162" s="118"/>
      <c r="H162" s="271">
        <v>29100</v>
      </c>
      <c r="I162" s="9"/>
      <c r="J162" s="11"/>
      <c r="K162" s="10">
        <f t="shared" si="2"/>
        <v>-905830</v>
      </c>
      <c r="N162" s="88"/>
    </row>
    <row r="163" spans="1:14" ht="15">
      <c r="A163" s="88"/>
      <c r="B163" s="222">
        <v>43686</v>
      </c>
      <c r="C163" s="15" t="s">
        <v>448</v>
      </c>
      <c r="D163" s="14" t="s">
        <v>69</v>
      </c>
      <c r="E163" s="118" t="s">
        <v>358</v>
      </c>
      <c r="F163" s="290" t="s">
        <v>429</v>
      </c>
      <c r="G163" s="118" t="s">
        <v>59</v>
      </c>
      <c r="H163" s="271">
        <v>24570</v>
      </c>
      <c r="I163" s="9"/>
      <c r="J163" s="11"/>
      <c r="K163" s="10">
        <f t="shared" si="2"/>
        <v>-930400</v>
      </c>
      <c r="N163" s="88"/>
    </row>
    <row r="164" spans="1:14" ht="15">
      <c r="A164" s="88"/>
      <c r="B164" s="100">
        <v>43686</v>
      </c>
      <c r="C164" s="103" t="s">
        <v>68</v>
      </c>
      <c r="D164" s="257"/>
      <c r="E164" s="257"/>
      <c r="F164" s="115">
        <f>5000*2+1000*36+500*58</f>
        <v>75000</v>
      </c>
      <c r="G164" s="101"/>
      <c r="H164" s="269"/>
      <c r="I164" s="9">
        <v>75000</v>
      </c>
      <c r="J164" s="11"/>
      <c r="K164" s="10">
        <f t="shared" si="2"/>
        <v>-855400</v>
      </c>
      <c r="N164" s="88"/>
    </row>
    <row r="165" spans="1:14" ht="15">
      <c r="A165" s="88"/>
      <c r="B165" s="100">
        <v>43687</v>
      </c>
      <c r="C165" s="103" t="s">
        <v>68</v>
      </c>
      <c r="D165" s="257"/>
      <c r="E165" s="257"/>
      <c r="F165" s="115">
        <f>5000*7+1000*24+500*30+100*10</f>
        <v>75000</v>
      </c>
      <c r="G165" s="101"/>
      <c r="H165" s="269"/>
      <c r="I165" s="9">
        <v>75000</v>
      </c>
      <c r="J165" s="11"/>
      <c r="K165" s="10">
        <f t="shared" si="2"/>
        <v>-780400</v>
      </c>
      <c r="N165" s="88"/>
    </row>
    <row r="166" spans="1:14" ht="15">
      <c r="A166" s="88"/>
      <c r="B166" s="16">
        <v>43687</v>
      </c>
      <c r="C166" s="15" t="s">
        <v>449</v>
      </c>
      <c r="D166" s="14" t="s">
        <v>2</v>
      </c>
      <c r="E166" s="118" t="s">
        <v>431</v>
      </c>
      <c r="F166" s="290" t="s">
        <v>432</v>
      </c>
      <c r="G166" s="118" t="s">
        <v>433</v>
      </c>
      <c r="H166" s="271">
        <v>35500</v>
      </c>
      <c r="I166" s="9"/>
      <c r="J166" s="11"/>
      <c r="K166" s="10">
        <f t="shared" si="2"/>
        <v>-815900</v>
      </c>
      <c r="N166" s="88"/>
    </row>
    <row r="167" spans="1:14" ht="15">
      <c r="A167" s="88"/>
      <c r="B167" s="16">
        <v>43688</v>
      </c>
      <c r="C167" s="15" t="s">
        <v>450</v>
      </c>
      <c r="D167" s="14" t="s">
        <v>2</v>
      </c>
      <c r="E167" s="118" t="s">
        <v>434</v>
      </c>
      <c r="F167" s="290" t="s">
        <v>435</v>
      </c>
      <c r="G167" s="118" t="s">
        <v>59</v>
      </c>
      <c r="H167" s="271">
        <v>26600</v>
      </c>
      <c r="I167" s="9"/>
      <c r="J167" s="11"/>
      <c r="K167" s="10">
        <f t="shared" si="2"/>
        <v>-842500</v>
      </c>
      <c r="N167" s="88"/>
    </row>
    <row r="168" spans="1:14" ht="15">
      <c r="A168" s="88"/>
      <c r="B168" s="100">
        <v>43694</v>
      </c>
      <c r="C168" s="103" t="s">
        <v>68</v>
      </c>
      <c r="D168" s="257"/>
      <c r="E168" s="257"/>
      <c r="F168" s="115">
        <f>5000*6+1000*45+500*70</f>
        <v>110000</v>
      </c>
      <c r="G168" s="101"/>
      <c r="H168" s="269"/>
      <c r="I168" s="9">
        <v>110000</v>
      </c>
      <c r="J168" s="11"/>
      <c r="K168" s="10">
        <f t="shared" si="2"/>
        <v>-732500</v>
      </c>
      <c r="N168" s="88"/>
    </row>
    <row r="169" spans="1:14" ht="15">
      <c r="A169" s="88"/>
      <c r="B169" s="16">
        <v>43694</v>
      </c>
      <c r="C169" s="15" t="s">
        <v>451</v>
      </c>
      <c r="D169" s="14" t="s">
        <v>69</v>
      </c>
      <c r="E169" s="118" t="s">
        <v>358</v>
      </c>
      <c r="F169" s="290" t="s">
        <v>436</v>
      </c>
      <c r="G169" s="118" t="s">
        <v>112</v>
      </c>
      <c r="H169" s="271">
        <v>24570</v>
      </c>
      <c r="I169" s="9"/>
      <c r="J169" s="11"/>
      <c r="K169" s="10">
        <f t="shared" si="2"/>
        <v>-757070</v>
      </c>
      <c r="N169" s="88"/>
    </row>
    <row r="170" spans="1:14" ht="15">
      <c r="A170" s="88"/>
      <c r="B170" s="16">
        <v>43694</v>
      </c>
      <c r="C170" s="15" t="s">
        <v>452</v>
      </c>
      <c r="D170" s="14" t="s">
        <v>0</v>
      </c>
      <c r="E170" s="118" t="s">
        <v>400</v>
      </c>
      <c r="F170" s="291" t="s">
        <v>437</v>
      </c>
      <c r="G170" s="223" t="s">
        <v>1</v>
      </c>
      <c r="H170" s="271">
        <v>21340</v>
      </c>
      <c r="I170" s="9"/>
      <c r="J170" s="11"/>
      <c r="K170" s="10">
        <f t="shared" si="2"/>
        <v>-778410</v>
      </c>
      <c r="N170" s="88"/>
    </row>
    <row r="171" spans="1:14" ht="15">
      <c r="A171" s="88"/>
      <c r="B171" s="16">
        <v>43696</v>
      </c>
      <c r="C171" s="15" t="s">
        <v>456</v>
      </c>
      <c r="D171" s="14" t="s">
        <v>0</v>
      </c>
      <c r="E171" s="118" t="s">
        <v>400</v>
      </c>
      <c r="F171" s="290" t="s">
        <v>453</v>
      </c>
      <c r="G171" s="118" t="s">
        <v>112</v>
      </c>
      <c r="H171" s="271">
        <v>21340</v>
      </c>
      <c r="I171" s="9"/>
      <c r="J171" s="11"/>
      <c r="K171" s="10">
        <f t="shared" si="2"/>
        <v>-799750</v>
      </c>
      <c r="N171" s="88"/>
    </row>
    <row r="172" spans="1:14" ht="15">
      <c r="A172" s="88"/>
      <c r="B172" s="16">
        <v>43698</v>
      </c>
      <c r="C172" s="15" t="s">
        <v>457</v>
      </c>
      <c r="D172" s="14" t="s">
        <v>69</v>
      </c>
      <c r="E172" s="118" t="s">
        <v>454</v>
      </c>
      <c r="F172" s="290" t="s">
        <v>455</v>
      </c>
      <c r="G172" s="118" t="s">
        <v>433</v>
      </c>
      <c r="H172" s="271">
        <v>29030</v>
      </c>
      <c r="I172" s="9"/>
      <c r="J172" s="11"/>
      <c r="K172" s="10">
        <f t="shared" si="2"/>
        <v>-828780</v>
      </c>
      <c r="N172" s="88"/>
    </row>
    <row r="173" spans="1:14" ht="15">
      <c r="A173" s="88"/>
      <c r="B173" s="16">
        <v>43700</v>
      </c>
      <c r="C173" s="15" t="s">
        <v>470</v>
      </c>
      <c r="D173" s="14" t="s">
        <v>328</v>
      </c>
      <c r="E173" s="124" t="s">
        <v>324</v>
      </c>
      <c r="F173" s="290" t="s">
        <v>458</v>
      </c>
      <c r="G173" s="118"/>
      <c r="H173" s="268">
        <v>16320</v>
      </c>
      <c r="I173" s="9"/>
      <c r="J173" s="11"/>
      <c r="K173" s="10">
        <f t="shared" si="2"/>
        <v>-845100</v>
      </c>
      <c r="N173" s="88"/>
    </row>
    <row r="174" spans="1:14" ht="15">
      <c r="A174" s="88"/>
      <c r="B174" s="16">
        <v>43703</v>
      </c>
      <c r="C174" s="15" t="s">
        <v>471</v>
      </c>
      <c r="D174" s="225" t="s">
        <v>469</v>
      </c>
      <c r="E174" s="124" t="s">
        <v>459</v>
      </c>
      <c r="F174" s="290" t="s">
        <v>460</v>
      </c>
      <c r="G174" s="118" t="s">
        <v>461</v>
      </c>
      <c r="H174" s="268">
        <v>12480</v>
      </c>
      <c r="I174" s="9"/>
      <c r="J174" s="11"/>
      <c r="K174" s="10">
        <f t="shared" si="2"/>
        <v>-857580</v>
      </c>
      <c r="N174" s="88"/>
    </row>
    <row r="175" spans="1:14" ht="15">
      <c r="A175" s="88"/>
      <c r="B175" s="16">
        <v>43706</v>
      </c>
      <c r="C175" s="15" t="s">
        <v>472</v>
      </c>
      <c r="D175" s="14" t="s">
        <v>2</v>
      </c>
      <c r="E175" s="124" t="s">
        <v>462</v>
      </c>
      <c r="F175" s="290" t="s">
        <v>463</v>
      </c>
      <c r="G175" s="118" t="s">
        <v>464</v>
      </c>
      <c r="H175" s="268">
        <v>26590</v>
      </c>
      <c r="I175" s="9"/>
      <c r="J175" s="11"/>
      <c r="K175" s="10">
        <f t="shared" si="2"/>
        <v>-884170</v>
      </c>
      <c r="N175" s="88"/>
    </row>
    <row r="176" spans="1:14" ht="15">
      <c r="A176" s="88"/>
      <c r="B176" s="16">
        <v>43707</v>
      </c>
      <c r="C176" s="15" t="s">
        <v>473</v>
      </c>
      <c r="D176" s="14" t="s">
        <v>69</v>
      </c>
      <c r="E176" s="124" t="s">
        <v>345</v>
      </c>
      <c r="F176" s="290" t="s">
        <v>465</v>
      </c>
      <c r="G176" s="118" t="s">
        <v>112</v>
      </c>
      <c r="H176" s="268">
        <v>18580</v>
      </c>
      <c r="I176" s="9"/>
      <c r="J176" s="11"/>
      <c r="K176" s="10">
        <f t="shared" si="2"/>
        <v>-902750</v>
      </c>
      <c r="N176" s="88"/>
    </row>
    <row r="177" spans="1:14" ht="15">
      <c r="A177" s="88"/>
      <c r="B177" s="16">
        <v>43707</v>
      </c>
      <c r="C177" s="15" t="s">
        <v>474</v>
      </c>
      <c r="D177" s="14" t="s">
        <v>152</v>
      </c>
      <c r="E177" s="124" t="s">
        <v>466</v>
      </c>
      <c r="F177" s="290" t="s">
        <v>467</v>
      </c>
      <c r="G177" s="118" t="s">
        <v>55</v>
      </c>
      <c r="H177" s="268">
        <v>14400</v>
      </c>
      <c r="I177" s="9"/>
      <c r="J177" s="11"/>
      <c r="K177" s="10">
        <f t="shared" si="2"/>
        <v>-917150</v>
      </c>
      <c r="N177" s="88"/>
    </row>
    <row r="178" spans="1:14" ht="15">
      <c r="A178" s="88"/>
      <c r="B178" s="16">
        <v>43708</v>
      </c>
      <c r="C178" s="15" t="s">
        <v>475</v>
      </c>
      <c r="D178" s="14" t="s">
        <v>2</v>
      </c>
      <c r="E178" s="124" t="s">
        <v>462</v>
      </c>
      <c r="F178" s="290" t="s">
        <v>468</v>
      </c>
      <c r="G178" s="118"/>
      <c r="H178" s="268">
        <v>26590</v>
      </c>
      <c r="I178" s="9"/>
      <c r="J178" s="11"/>
      <c r="K178" s="10">
        <f t="shared" si="2"/>
        <v>-943740</v>
      </c>
      <c r="L178" s="5">
        <v>518000</v>
      </c>
      <c r="N178" s="88"/>
    </row>
    <row r="179" spans="1:14" ht="15">
      <c r="A179" s="88"/>
      <c r="B179" s="100">
        <v>43714</v>
      </c>
      <c r="C179" s="103" t="s">
        <v>68</v>
      </c>
      <c r="D179" s="257"/>
      <c r="E179" s="257"/>
      <c r="F179" s="115">
        <v>30000</v>
      </c>
      <c r="G179" s="101"/>
      <c r="H179" s="269"/>
      <c r="I179" s="9">
        <v>30000</v>
      </c>
      <c r="J179" s="11"/>
      <c r="K179" s="10">
        <f t="shared" si="2"/>
        <v>-913740</v>
      </c>
      <c r="N179" s="88"/>
    </row>
    <row r="180" spans="1:14" ht="15">
      <c r="A180" s="88"/>
      <c r="B180" s="16">
        <v>43714</v>
      </c>
      <c r="C180" s="15" t="s">
        <v>494</v>
      </c>
      <c r="D180" s="225" t="s">
        <v>469</v>
      </c>
      <c r="E180" s="118" t="s">
        <v>459</v>
      </c>
      <c r="F180" s="290" t="s">
        <v>476</v>
      </c>
      <c r="G180" s="118" t="s">
        <v>461</v>
      </c>
      <c r="H180" s="268">
        <v>12480</v>
      </c>
      <c r="I180" s="9"/>
      <c r="J180" s="11"/>
      <c r="K180" s="10">
        <f t="shared" si="2"/>
        <v>-926220</v>
      </c>
      <c r="N180" s="88"/>
    </row>
    <row r="181" spans="1:14" ht="15">
      <c r="A181" s="88"/>
      <c r="B181" s="16">
        <v>43714</v>
      </c>
      <c r="C181" s="15" t="s">
        <v>495</v>
      </c>
      <c r="D181" s="14" t="s">
        <v>2</v>
      </c>
      <c r="E181" s="118" t="s">
        <v>477</v>
      </c>
      <c r="F181" s="290" t="s">
        <v>478</v>
      </c>
      <c r="G181" s="118" t="s">
        <v>479</v>
      </c>
      <c r="H181" s="268">
        <v>34560</v>
      </c>
      <c r="I181" s="9"/>
      <c r="J181" s="11"/>
      <c r="K181" s="10">
        <f t="shared" si="2"/>
        <v>-960780</v>
      </c>
      <c r="N181" s="88"/>
    </row>
    <row r="182" spans="1:14" ht="15">
      <c r="A182" s="88"/>
      <c r="B182" s="16">
        <v>43715</v>
      </c>
      <c r="C182" s="15" t="s">
        <v>496</v>
      </c>
      <c r="D182" s="14" t="s">
        <v>69</v>
      </c>
      <c r="E182" s="118" t="s">
        <v>358</v>
      </c>
      <c r="F182" s="290" t="s">
        <v>480</v>
      </c>
      <c r="G182" s="118" t="s">
        <v>1</v>
      </c>
      <c r="H182" s="268">
        <v>24570</v>
      </c>
      <c r="I182" s="9"/>
      <c r="J182" s="11"/>
      <c r="K182" s="10">
        <f t="shared" si="2"/>
        <v>-985350</v>
      </c>
      <c r="N182" s="88"/>
    </row>
    <row r="183" spans="1:14" ht="15">
      <c r="A183" s="88"/>
      <c r="B183" s="16">
        <v>43717</v>
      </c>
      <c r="C183" s="15" t="s">
        <v>497</v>
      </c>
      <c r="D183" s="225" t="s">
        <v>469</v>
      </c>
      <c r="E183" s="118" t="s">
        <v>459</v>
      </c>
      <c r="F183" s="290" t="s">
        <v>481</v>
      </c>
      <c r="G183" s="118" t="s">
        <v>461</v>
      </c>
      <c r="H183" s="268">
        <v>12480</v>
      </c>
      <c r="I183" s="9"/>
      <c r="J183" s="11"/>
      <c r="K183" s="10">
        <f t="shared" si="2"/>
        <v>-997830</v>
      </c>
      <c r="N183" s="88"/>
    </row>
    <row r="184" spans="1:14" ht="15">
      <c r="A184" s="88"/>
      <c r="B184" s="100">
        <v>43719</v>
      </c>
      <c r="C184" s="103" t="s">
        <v>68</v>
      </c>
      <c r="D184" s="257"/>
      <c r="E184" s="257"/>
      <c r="F184" s="115">
        <f>5000*20+1000*275+500*150+100*241+50*50</f>
        <v>476600</v>
      </c>
      <c r="G184" s="101"/>
      <c r="H184" s="269"/>
      <c r="I184" s="9">
        <v>476600</v>
      </c>
      <c r="J184" s="11"/>
      <c r="K184" s="10">
        <f t="shared" si="2"/>
        <v>-521230</v>
      </c>
      <c r="N184" s="88"/>
    </row>
    <row r="185" spans="1:14" ht="15">
      <c r="A185" s="88"/>
      <c r="B185" s="16">
        <v>43720</v>
      </c>
      <c r="C185" s="15" t="s">
        <v>498</v>
      </c>
      <c r="D185" s="14" t="s">
        <v>69</v>
      </c>
      <c r="E185" s="118" t="s">
        <v>358</v>
      </c>
      <c r="F185" s="290" t="s">
        <v>482</v>
      </c>
      <c r="G185" s="118" t="s">
        <v>1</v>
      </c>
      <c r="H185" s="268">
        <v>24570</v>
      </c>
      <c r="I185" s="9"/>
      <c r="J185" s="11"/>
      <c r="K185" s="10">
        <f t="shared" si="2"/>
        <v>-545800</v>
      </c>
      <c r="N185" s="88"/>
    </row>
    <row r="186" spans="1:14" ht="15">
      <c r="A186" s="88"/>
      <c r="B186" s="16">
        <v>43725</v>
      </c>
      <c r="C186" s="15" t="s">
        <v>499</v>
      </c>
      <c r="D186" s="14" t="s">
        <v>61</v>
      </c>
      <c r="E186" s="118" t="s">
        <v>483</v>
      </c>
      <c r="F186" s="290" t="s">
        <v>484</v>
      </c>
      <c r="G186" s="118" t="s">
        <v>485</v>
      </c>
      <c r="H186" s="268">
        <v>12480</v>
      </c>
      <c r="I186" s="9"/>
      <c r="J186" s="11"/>
      <c r="K186" s="10">
        <f t="shared" si="2"/>
        <v>-558280</v>
      </c>
      <c r="N186" s="88"/>
    </row>
    <row r="187" spans="1:14" ht="15">
      <c r="A187" s="88"/>
      <c r="B187" s="16">
        <v>43726</v>
      </c>
      <c r="C187" s="15" t="s">
        <v>500</v>
      </c>
      <c r="D187" s="14" t="s">
        <v>2</v>
      </c>
      <c r="E187" s="118" t="s">
        <v>486</v>
      </c>
      <c r="F187" s="290" t="s">
        <v>487</v>
      </c>
      <c r="G187" s="118" t="s">
        <v>55</v>
      </c>
      <c r="H187" s="268">
        <v>21600</v>
      </c>
      <c r="I187" s="9"/>
      <c r="J187" s="11"/>
      <c r="K187" s="10">
        <f t="shared" si="2"/>
        <v>-579880</v>
      </c>
      <c r="N187" s="88"/>
    </row>
    <row r="188" spans="1:14" ht="15">
      <c r="A188" s="88"/>
      <c r="B188" s="16">
        <v>43726</v>
      </c>
      <c r="C188" s="15" t="s">
        <v>501</v>
      </c>
      <c r="D188" s="14" t="s">
        <v>69</v>
      </c>
      <c r="E188" s="118" t="s">
        <v>454</v>
      </c>
      <c r="F188" s="290" t="s">
        <v>488</v>
      </c>
      <c r="G188" s="118" t="s">
        <v>433</v>
      </c>
      <c r="H188" s="268">
        <v>29030</v>
      </c>
      <c r="I188" s="9"/>
      <c r="J188" s="11"/>
      <c r="K188" s="10">
        <f t="shared" si="2"/>
        <v>-608910</v>
      </c>
      <c r="N188" s="88"/>
    </row>
    <row r="189" spans="1:14" ht="15">
      <c r="A189" s="88"/>
      <c r="B189" s="100">
        <v>43726</v>
      </c>
      <c r="C189" s="103" t="s">
        <v>68</v>
      </c>
      <c r="D189" s="257"/>
      <c r="E189" s="257"/>
      <c r="F189" s="115">
        <f>5000*1+1000*130+500*74</f>
        <v>172000</v>
      </c>
      <c r="G189" s="101"/>
      <c r="H189" s="269"/>
      <c r="I189" s="9">
        <v>172000</v>
      </c>
      <c r="J189" s="11"/>
      <c r="K189" s="10">
        <f t="shared" si="2"/>
        <v>-436910</v>
      </c>
      <c r="N189" s="88"/>
    </row>
    <row r="190" spans="1:14" ht="15">
      <c r="A190" s="88"/>
      <c r="B190" s="16">
        <v>43732</v>
      </c>
      <c r="C190" s="15" t="s">
        <v>502</v>
      </c>
      <c r="D190" s="14" t="s">
        <v>0</v>
      </c>
      <c r="E190" s="118" t="s">
        <v>312</v>
      </c>
      <c r="F190" s="290" t="s">
        <v>489</v>
      </c>
      <c r="G190" s="118" t="s">
        <v>1</v>
      </c>
      <c r="H190" s="268">
        <v>28950</v>
      </c>
      <c r="I190" s="9"/>
      <c r="J190" s="11"/>
      <c r="K190" s="10">
        <f t="shared" si="2"/>
        <v>-465860</v>
      </c>
      <c r="N190" s="88"/>
    </row>
    <row r="191" spans="1:14" ht="15">
      <c r="A191" s="88"/>
      <c r="B191" s="16">
        <v>43734</v>
      </c>
      <c r="C191" s="15" t="s">
        <v>503</v>
      </c>
      <c r="D191" s="14" t="s">
        <v>0</v>
      </c>
      <c r="E191" s="118" t="s">
        <v>312</v>
      </c>
      <c r="F191" s="290" t="s">
        <v>490</v>
      </c>
      <c r="G191" s="118" t="s">
        <v>59</v>
      </c>
      <c r="H191" s="268">
        <v>28950</v>
      </c>
      <c r="I191" s="9"/>
      <c r="J191" s="11"/>
      <c r="K191" s="10">
        <f t="shared" si="2"/>
        <v>-494810</v>
      </c>
      <c r="N191" s="88"/>
    </row>
    <row r="192" spans="1:14" ht="15">
      <c r="A192" s="88"/>
      <c r="B192" s="16">
        <v>43735</v>
      </c>
      <c r="C192" s="15" t="s">
        <v>504</v>
      </c>
      <c r="D192" s="14" t="s">
        <v>2</v>
      </c>
      <c r="E192" s="118" t="s">
        <v>491</v>
      </c>
      <c r="F192" s="290" t="s">
        <v>492</v>
      </c>
      <c r="G192" s="118" t="s">
        <v>338</v>
      </c>
      <c r="H192" s="268">
        <v>27840</v>
      </c>
      <c r="I192" s="9"/>
      <c r="J192" s="11"/>
      <c r="K192" s="10">
        <f t="shared" si="2"/>
        <v>-522650</v>
      </c>
      <c r="N192" s="88"/>
    </row>
    <row r="193" spans="1:14" ht="15">
      <c r="A193" s="88"/>
      <c r="B193" s="16">
        <v>43736</v>
      </c>
      <c r="C193" s="15" t="s">
        <v>505</v>
      </c>
      <c r="D193" s="14" t="s">
        <v>69</v>
      </c>
      <c r="E193" s="118" t="s">
        <v>345</v>
      </c>
      <c r="F193" s="290" t="s">
        <v>493</v>
      </c>
      <c r="G193" s="118" t="s">
        <v>112</v>
      </c>
      <c r="H193" s="268">
        <v>18580</v>
      </c>
      <c r="I193" s="9"/>
      <c r="J193" s="11"/>
      <c r="K193" s="10">
        <f t="shared" si="2"/>
        <v>-541230</v>
      </c>
      <c r="N193" s="88"/>
    </row>
    <row r="194" spans="1:14" ht="15">
      <c r="A194" s="88"/>
      <c r="B194" s="100">
        <v>43738</v>
      </c>
      <c r="C194" s="103" t="s">
        <v>68</v>
      </c>
      <c r="D194" s="257"/>
      <c r="E194" s="257"/>
      <c r="F194" s="115">
        <f>5000*1+1000*40+500*29+50*10</f>
        <v>60000</v>
      </c>
      <c r="G194" s="101"/>
      <c r="H194" s="269"/>
      <c r="I194" s="9">
        <v>60000</v>
      </c>
      <c r="J194" s="11"/>
      <c r="K194" s="10">
        <f t="shared" si="2"/>
        <v>-481230</v>
      </c>
      <c r="N194" s="88"/>
    </row>
    <row r="195" spans="1:14" ht="15">
      <c r="A195" s="88"/>
      <c r="B195" s="16">
        <v>43738</v>
      </c>
      <c r="C195" s="15" t="s">
        <v>506</v>
      </c>
      <c r="D195" s="14" t="s">
        <v>69</v>
      </c>
      <c r="E195" s="118" t="s">
        <v>345</v>
      </c>
      <c r="F195" s="290" t="s">
        <v>507</v>
      </c>
      <c r="G195" s="118" t="s">
        <v>112</v>
      </c>
      <c r="H195" s="268">
        <v>18580</v>
      </c>
      <c r="I195" s="9"/>
      <c r="J195" s="11"/>
      <c r="K195" s="10">
        <f t="shared" si="2"/>
        <v>-499810</v>
      </c>
      <c r="L195" s="5">
        <v>294670</v>
      </c>
      <c r="N195" s="88"/>
    </row>
    <row r="196" spans="1:14" ht="15">
      <c r="A196" s="88"/>
      <c r="B196" s="229">
        <v>43739</v>
      </c>
      <c r="C196" s="228" t="s">
        <v>532</v>
      </c>
      <c r="D196" s="14" t="s">
        <v>0</v>
      </c>
      <c r="E196" s="226" t="s">
        <v>508</v>
      </c>
      <c r="F196" s="292" t="s">
        <v>509</v>
      </c>
      <c r="G196" s="226" t="s">
        <v>510</v>
      </c>
      <c r="H196" s="272">
        <v>23280</v>
      </c>
      <c r="I196" s="9"/>
      <c r="J196" s="11"/>
      <c r="K196" s="10">
        <f t="shared" si="2"/>
        <v>-523090</v>
      </c>
      <c r="N196" s="88"/>
    </row>
    <row r="197" spans="1:14" ht="15">
      <c r="A197" s="88"/>
      <c r="B197" s="229">
        <v>43740</v>
      </c>
      <c r="C197" s="228" t="s">
        <v>533</v>
      </c>
      <c r="D197" s="14" t="s">
        <v>69</v>
      </c>
      <c r="E197" s="226" t="s">
        <v>454</v>
      </c>
      <c r="F197" s="292" t="s">
        <v>511</v>
      </c>
      <c r="G197" s="226" t="s">
        <v>55</v>
      </c>
      <c r="H197" s="273">
        <f>29600+100</f>
        <v>29700</v>
      </c>
      <c r="I197" s="9"/>
      <c r="J197" s="11"/>
      <c r="K197" s="10">
        <f t="shared" si="2"/>
        <v>-552790</v>
      </c>
      <c r="N197" s="88"/>
    </row>
    <row r="198" spans="1:14" ht="15">
      <c r="A198" s="88"/>
      <c r="B198" s="229">
        <v>43746</v>
      </c>
      <c r="C198" s="228" t="s">
        <v>534</v>
      </c>
      <c r="D198" s="227" t="s">
        <v>4</v>
      </c>
      <c r="E198" s="226" t="s">
        <v>512</v>
      </c>
      <c r="F198" s="292" t="s">
        <v>513</v>
      </c>
      <c r="G198" s="226" t="s">
        <v>514</v>
      </c>
      <c r="H198" s="273">
        <v>35000</v>
      </c>
      <c r="I198" s="9"/>
      <c r="J198" s="11"/>
      <c r="K198" s="10">
        <f t="shared" si="2"/>
        <v>-587790</v>
      </c>
      <c r="N198" s="88"/>
    </row>
    <row r="199" spans="1:14" ht="15">
      <c r="A199" s="88"/>
      <c r="B199" s="229">
        <v>43746</v>
      </c>
      <c r="C199" s="228" t="s">
        <v>535</v>
      </c>
      <c r="D199" s="14" t="s">
        <v>69</v>
      </c>
      <c r="E199" s="118" t="s">
        <v>345</v>
      </c>
      <c r="F199" s="292" t="s">
        <v>515</v>
      </c>
      <c r="G199" s="226" t="s">
        <v>112</v>
      </c>
      <c r="H199" s="273">
        <f>18300+100</f>
        <v>18400</v>
      </c>
      <c r="I199" s="9"/>
      <c r="J199" s="11"/>
      <c r="K199" s="10">
        <f t="shared" si="2"/>
        <v>-606190</v>
      </c>
      <c r="N199" s="88"/>
    </row>
    <row r="200" spans="1:14" ht="15">
      <c r="A200" s="88"/>
      <c r="B200" s="229">
        <v>43747</v>
      </c>
      <c r="C200" s="228" t="s">
        <v>536</v>
      </c>
      <c r="D200" s="14" t="s">
        <v>0</v>
      </c>
      <c r="E200" s="226" t="s">
        <v>516</v>
      </c>
      <c r="F200" s="292" t="s">
        <v>517</v>
      </c>
      <c r="G200" s="226" t="s">
        <v>382</v>
      </c>
      <c r="H200" s="273">
        <v>38800</v>
      </c>
      <c r="I200" s="9"/>
      <c r="J200" s="11"/>
      <c r="K200" s="10">
        <f t="shared" si="2"/>
        <v>-644990</v>
      </c>
      <c r="N200" s="88"/>
    </row>
    <row r="201" spans="1:14" ht="15">
      <c r="A201" s="88"/>
      <c r="B201" s="229">
        <v>43747</v>
      </c>
      <c r="C201" s="228" t="s">
        <v>537</v>
      </c>
      <c r="D201" s="14" t="s">
        <v>0</v>
      </c>
      <c r="E201" s="226" t="s">
        <v>516</v>
      </c>
      <c r="F201" s="292" t="s">
        <v>518</v>
      </c>
      <c r="G201" s="226" t="s">
        <v>59</v>
      </c>
      <c r="H201" s="273">
        <v>38800</v>
      </c>
      <c r="I201" s="9"/>
      <c r="J201" s="11"/>
      <c r="K201" s="10">
        <f t="shared" ref="K201:K264" si="3">K200-H201+I201</f>
        <v>-683790</v>
      </c>
      <c r="N201" s="88"/>
    </row>
    <row r="202" spans="1:14" ht="15">
      <c r="A202" s="88"/>
      <c r="B202" s="229">
        <v>43748</v>
      </c>
      <c r="C202" s="228" t="s">
        <v>538</v>
      </c>
      <c r="D202" s="14" t="s">
        <v>69</v>
      </c>
      <c r="E202" s="226" t="s">
        <v>358</v>
      </c>
      <c r="F202" s="292" t="s">
        <v>519</v>
      </c>
      <c r="G202" s="226" t="s">
        <v>1</v>
      </c>
      <c r="H202" s="273">
        <v>24570</v>
      </c>
      <c r="I202" s="9"/>
      <c r="J202" s="11"/>
      <c r="K202" s="10">
        <f t="shared" si="3"/>
        <v>-708360</v>
      </c>
      <c r="N202" s="88"/>
    </row>
    <row r="203" spans="1:14" ht="15">
      <c r="A203" s="88"/>
      <c r="B203" s="229">
        <v>43750</v>
      </c>
      <c r="C203" s="228" t="s">
        <v>539</v>
      </c>
      <c r="D203" s="14" t="s">
        <v>2</v>
      </c>
      <c r="E203" s="226" t="s">
        <v>520</v>
      </c>
      <c r="F203" s="292" t="s">
        <v>521</v>
      </c>
      <c r="G203" s="226" t="s">
        <v>522</v>
      </c>
      <c r="H203" s="273">
        <v>20840</v>
      </c>
      <c r="I203" s="9"/>
      <c r="J203" s="11"/>
      <c r="K203" s="10">
        <f t="shared" si="3"/>
        <v>-729200</v>
      </c>
      <c r="N203" s="88"/>
    </row>
    <row r="204" spans="1:14" ht="15">
      <c r="A204" s="88"/>
      <c r="B204" s="229">
        <v>43750</v>
      </c>
      <c r="C204" s="228" t="s">
        <v>540</v>
      </c>
      <c r="D204" s="227" t="s">
        <v>544</v>
      </c>
      <c r="E204" s="226" t="s">
        <v>523</v>
      </c>
      <c r="F204" s="292" t="s">
        <v>524</v>
      </c>
      <c r="G204" s="226" t="s">
        <v>525</v>
      </c>
      <c r="H204" s="272">
        <v>9310</v>
      </c>
      <c r="I204" s="9"/>
      <c r="J204" s="11"/>
      <c r="K204" s="10">
        <f t="shared" si="3"/>
        <v>-738510</v>
      </c>
      <c r="N204" s="88"/>
    </row>
    <row r="205" spans="1:14" ht="15">
      <c r="A205" s="88"/>
      <c r="B205" s="229">
        <v>43750</v>
      </c>
      <c r="C205" s="228" t="s">
        <v>541</v>
      </c>
      <c r="D205" s="14" t="s">
        <v>2</v>
      </c>
      <c r="E205" s="226" t="s">
        <v>526</v>
      </c>
      <c r="F205" s="292" t="s">
        <v>527</v>
      </c>
      <c r="G205" s="226"/>
      <c r="H205" s="273">
        <v>34560</v>
      </c>
      <c r="I205" s="9"/>
      <c r="J205" s="11"/>
      <c r="K205" s="10">
        <f t="shared" si="3"/>
        <v>-773070</v>
      </c>
      <c r="N205" s="88"/>
    </row>
    <row r="206" spans="1:14" ht="15">
      <c r="A206" s="88"/>
      <c r="B206" s="100">
        <v>43759</v>
      </c>
      <c r="C206" s="103" t="s">
        <v>68</v>
      </c>
      <c r="D206" s="256"/>
      <c r="E206" s="256"/>
      <c r="F206" s="115">
        <f>1000*100+500*100</f>
        <v>150000</v>
      </c>
      <c r="G206" s="101"/>
      <c r="H206" s="269"/>
      <c r="I206" s="9">
        <v>150000</v>
      </c>
      <c r="J206" s="11"/>
      <c r="K206" s="10">
        <f t="shared" si="3"/>
        <v>-623070</v>
      </c>
      <c r="N206" s="88"/>
    </row>
    <row r="207" spans="1:14" ht="15">
      <c r="A207" s="88"/>
      <c r="B207" s="100">
        <v>43761</v>
      </c>
      <c r="C207" s="103" t="s">
        <v>68</v>
      </c>
      <c r="D207" s="256"/>
      <c r="E207" s="256"/>
      <c r="F207" s="115">
        <f>1000*175+500*50</f>
        <v>200000</v>
      </c>
      <c r="G207" s="101"/>
      <c r="H207" s="269"/>
      <c r="I207" s="9">
        <v>200000</v>
      </c>
      <c r="J207" s="11"/>
      <c r="K207" s="10">
        <f t="shared" si="3"/>
        <v>-423070</v>
      </c>
      <c r="N207" s="88"/>
    </row>
    <row r="208" spans="1:14" ht="15">
      <c r="A208" s="88"/>
      <c r="B208" s="229">
        <v>43761</v>
      </c>
      <c r="C208" s="228" t="s">
        <v>542</v>
      </c>
      <c r="D208" s="240" t="s">
        <v>69</v>
      </c>
      <c r="E208" s="226" t="s">
        <v>528</v>
      </c>
      <c r="F208" s="292" t="s">
        <v>529</v>
      </c>
      <c r="G208" s="226" t="s">
        <v>530</v>
      </c>
      <c r="H208" s="273">
        <v>33400</v>
      </c>
      <c r="I208" s="9"/>
      <c r="J208" s="11"/>
      <c r="K208" s="10">
        <f t="shared" si="3"/>
        <v>-456470</v>
      </c>
      <c r="N208" s="88"/>
    </row>
    <row r="209" spans="1:15" ht="15">
      <c r="A209" s="88"/>
      <c r="B209" s="229">
        <v>43767</v>
      </c>
      <c r="C209" s="228" t="s">
        <v>543</v>
      </c>
      <c r="D209" s="238" t="s">
        <v>2</v>
      </c>
      <c r="E209" s="226" t="s">
        <v>520</v>
      </c>
      <c r="F209" s="292" t="s">
        <v>531</v>
      </c>
      <c r="G209" s="226" t="s">
        <v>338</v>
      </c>
      <c r="H209" s="273">
        <v>20830</v>
      </c>
      <c r="I209" s="9"/>
      <c r="J209" s="11"/>
      <c r="K209" s="10">
        <f t="shared" si="3"/>
        <v>-477300</v>
      </c>
      <c r="L209" s="5">
        <v>327490</v>
      </c>
      <c r="N209" s="88"/>
    </row>
    <row r="210" spans="1:15" ht="15">
      <c r="A210" s="88"/>
      <c r="B210" s="16">
        <v>43771</v>
      </c>
      <c r="C210" s="228" t="s">
        <v>546</v>
      </c>
      <c r="D210" s="238" t="s">
        <v>2</v>
      </c>
      <c r="E210" s="226" t="s">
        <v>548</v>
      </c>
      <c r="F210" s="282">
        <v>867182040470761</v>
      </c>
      <c r="G210" s="12" t="s">
        <v>433</v>
      </c>
      <c r="H210" s="273">
        <v>34920</v>
      </c>
      <c r="I210" s="9"/>
      <c r="J210" s="11"/>
      <c r="K210" s="10">
        <f t="shared" si="3"/>
        <v>-512220</v>
      </c>
      <c r="N210" s="88"/>
    </row>
    <row r="211" spans="1:15" ht="15">
      <c r="A211" s="88"/>
      <c r="B211" s="16">
        <v>43777</v>
      </c>
      <c r="C211" s="228" t="s">
        <v>547</v>
      </c>
      <c r="D211" s="239" t="s">
        <v>4</v>
      </c>
      <c r="E211" s="232" t="s">
        <v>549</v>
      </c>
      <c r="F211" s="282">
        <v>867778049460150</v>
      </c>
      <c r="G211" s="12" t="s">
        <v>1</v>
      </c>
      <c r="H211" s="273">
        <v>26200</v>
      </c>
      <c r="I211" s="9"/>
      <c r="J211" s="11"/>
      <c r="K211" s="10">
        <f t="shared" si="3"/>
        <v>-538420</v>
      </c>
      <c r="N211" s="88"/>
    </row>
    <row r="212" spans="1:15" ht="15">
      <c r="A212" s="88"/>
      <c r="B212" s="100">
        <v>43777</v>
      </c>
      <c r="C212" s="103" t="s">
        <v>68</v>
      </c>
      <c r="D212" s="256"/>
      <c r="E212" s="256"/>
      <c r="F212" s="115">
        <f>5000*8+1000*107+500*44+100*13+50*8+20*6+10*4</f>
        <v>170860</v>
      </c>
      <c r="G212" s="101"/>
      <c r="H212" s="269"/>
      <c r="I212" s="9">
        <v>170860</v>
      </c>
      <c r="J212" s="11"/>
      <c r="K212" s="10">
        <f t="shared" si="3"/>
        <v>-367560</v>
      </c>
      <c r="N212" s="88"/>
    </row>
    <row r="213" spans="1:15" ht="15">
      <c r="A213" s="88"/>
      <c r="B213" s="235">
        <v>43778</v>
      </c>
      <c r="C213" s="15" t="s">
        <v>550</v>
      </c>
      <c r="D213" s="241" t="s">
        <v>0</v>
      </c>
      <c r="E213" s="237" t="s">
        <v>571</v>
      </c>
      <c r="F213" s="293" t="s">
        <v>572</v>
      </c>
      <c r="G213" s="226" t="s">
        <v>59</v>
      </c>
      <c r="H213" s="274">
        <v>29760</v>
      </c>
      <c r="I213" s="9"/>
      <c r="J213" s="11"/>
      <c r="K213" s="10">
        <f t="shared" si="3"/>
        <v>-397320</v>
      </c>
      <c r="L213"/>
      <c r="N213" s="88"/>
    </row>
    <row r="214" spans="1:15" ht="15">
      <c r="A214" s="88"/>
      <c r="B214" s="236">
        <v>43781</v>
      </c>
      <c r="C214" s="15" t="s">
        <v>551</v>
      </c>
      <c r="D214" s="242" t="s">
        <v>328</v>
      </c>
      <c r="E214" s="237" t="s">
        <v>573</v>
      </c>
      <c r="F214" s="293" t="s">
        <v>574</v>
      </c>
      <c r="G214" s="226" t="s">
        <v>569</v>
      </c>
      <c r="H214" s="274">
        <v>18500</v>
      </c>
      <c r="I214" s="9"/>
      <c r="J214" s="11"/>
      <c r="K214" s="10">
        <f t="shared" si="3"/>
        <v>-415820</v>
      </c>
      <c r="L214" s="233" t="s">
        <v>568</v>
      </c>
      <c r="N214" s="88"/>
      <c r="O214">
        <v>500</v>
      </c>
    </row>
    <row r="215" spans="1:15" ht="15">
      <c r="A215" s="88"/>
      <c r="B215" s="236">
        <v>43781</v>
      </c>
      <c r="C215" s="15" t="s">
        <v>552</v>
      </c>
      <c r="D215" s="243" t="s">
        <v>2</v>
      </c>
      <c r="E215" s="237" t="s">
        <v>575</v>
      </c>
      <c r="F215" s="293" t="s">
        <v>576</v>
      </c>
      <c r="G215" s="226" t="s">
        <v>433</v>
      </c>
      <c r="H215" s="274">
        <v>34920</v>
      </c>
      <c r="I215" s="9"/>
      <c r="J215" s="11"/>
      <c r="K215" s="10">
        <f t="shared" si="3"/>
        <v>-450740</v>
      </c>
      <c r="L215"/>
      <c r="N215" s="88"/>
    </row>
    <row r="216" spans="1:15" ht="15">
      <c r="A216" s="88"/>
      <c r="B216" s="236">
        <v>43781</v>
      </c>
      <c r="C216" s="15" t="s">
        <v>553</v>
      </c>
      <c r="D216" s="241" t="s">
        <v>0</v>
      </c>
      <c r="E216" s="237" t="s">
        <v>508</v>
      </c>
      <c r="F216" s="293" t="s">
        <v>577</v>
      </c>
      <c r="G216" s="226" t="s">
        <v>59</v>
      </c>
      <c r="H216" s="274">
        <v>21600</v>
      </c>
      <c r="I216" s="9"/>
      <c r="J216" s="11"/>
      <c r="K216" s="10">
        <f t="shared" si="3"/>
        <v>-472340</v>
      </c>
      <c r="L216"/>
      <c r="N216" s="88"/>
    </row>
    <row r="217" spans="1:15" ht="15">
      <c r="A217" s="88"/>
      <c r="B217" s="236">
        <v>43782</v>
      </c>
      <c r="C217" s="15" t="s">
        <v>554</v>
      </c>
      <c r="D217" s="244" t="s">
        <v>469</v>
      </c>
      <c r="E217" s="237" t="s">
        <v>585</v>
      </c>
      <c r="F217" s="293" t="s">
        <v>578</v>
      </c>
      <c r="G217" s="226" t="s">
        <v>570</v>
      </c>
      <c r="H217" s="274">
        <v>15360</v>
      </c>
      <c r="I217" s="9"/>
      <c r="J217" s="11"/>
      <c r="K217" s="10">
        <f t="shared" si="3"/>
        <v>-487700</v>
      </c>
      <c r="L217" s="233">
        <v>500</v>
      </c>
      <c r="M217" s="5" t="s">
        <v>646</v>
      </c>
      <c r="N217" s="88"/>
      <c r="O217">
        <v>0</v>
      </c>
    </row>
    <row r="218" spans="1:15" ht="15">
      <c r="A218" s="88"/>
      <c r="B218" s="236">
        <v>43783</v>
      </c>
      <c r="C218" s="15" t="s">
        <v>555</v>
      </c>
      <c r="D218" s="241" t="s">
        <v>0</v>
      </c>
      <c r="E218" s="237" t="s">
        <v>508</v>
      </c>
      <c r="F218" s="293" t="s">
        <v>579</v>
      </c>
      <c r="G218" s="226" t="s">
        <v>112</v>
      </c>
      <c r="H218" s="274">
        <v>21600</v>
      </c>
      <c r="I218" s="9"/>
      <c r="J218" s="11"/>
      <c r="K218" s="10">
        <f t="shared" si="3"/>
        <v>-509300</v>
      </c>
      <c r="L218" s="234"/>
      <c r="N218" s="88"/>
    </row>
    <row r="219" spans="1:15" ht="15">
      <c r="A219" s="88"/>
      <c r="B219" s="236">
        <v>43785</v>
      </c>
      <c r="C219" s="15" t="s">
        <v>556</v>
      </c>
      <c r="D219" s="242" t="s">
        <v>328</v>
      </c>
      <c r="E219" s="237" t="s">
        <v>573</v>
      </c>
      <c r="F219" s="293" t="s">
        <v>580</v>
      </c>
      <c r="G219" s="226" t="s">
        <v>569</v>
      </c>
      <c r="H219" s="274">
        <v>18500</v>
      </c>
      <c r="I219" s="9"/>
      <c r="J219" s="11"/>
      <c r="K219" s="10">
        <f t="shared" si="3"/>
        <v>-527800</v>
      </c>
      <c r="L219" s="233">
        <v>500</v>
      </c>
      <c r="M219" s="5" t="s">
        <v>646</v>
      </c>
      <c r="N219" s="88"/>
      <c r="O219">
        <v>0</v>
      </c>
    </row>
    <row r="220" spans="1:15" ht="15">
      <c r="A220" s="88"/>
      <c r="B220" s="236">
        <v>43789</v>
      </c>
      <c r="C220" s="15" t="s">
        <v>557</v>
      </c>
      <c r="D220" s="245" t="s">
        <v>4</v>
      </c>
      <c r="E220" s="237" t="s">
        <v>581</v>
      </c>
      <c r="F220" s="293" t="s">
        <v>582</v>
      </c>
      <c r="G220" s="226" t="s">
        <v>1</v>
      </c>
      <c r="H220" s="274">
        <v>27200</v>
      </c>
      <c r="I220" s="9"/>
      <c r="J220" s="11"/>
      <c r="K220" s="10">
        <f t="shared" si="3"/>
        <v>-555000</v>
      </c>
      <c r="L220" s="234"/>
      <c r="N220" s="88"/>
    </row>
    <row r="221" spans="1:15" ht="15">
      <c r="A221" s="88"/>
      <c r="B221" s="236">
        <v>43791</v>
      </c>
      <c r="C221" s="15" t="s">
        <v>558</v>
      </c>
      <c r="D221" s="246" t="s">
        <v>69</v>
      </c>
      <c r="E221" s="237" t="s">
        <v>583</v>
      </c>
      <c r="F221" s="293" t="s">
        <v>584</v>
      </c>
      <c r="G221" s="226" t="s">
        <v>112</v>
      </c>
      <c r="H221" s="274">
        <f>19400+100</f>
        <v>19500</v>
      </c>
      <c r="I221" s="9"/>
      <c r="J221" s="11"/>
      <c r="K221" s="10">
        <f t="shared" si="3"/>
        <v>-574500</v>
      </c>
      <c r="L221" s="234"/>
      <c r="N221" s="88"/>
    </row>
    <row r="222" spans="1:15" ht="15">
      <c r="A222" s="88"/>
      <c r="B222" s="236">
        <v>43791</v>
      </c>
      <c r="C222" s="15" t="s">
        <v>559</v>
      </c>
      <c r="D222" s="244" t="s">
        <v>469</v>
      </c>
      <c r="E222" s="237" t="s">
        <v>585</v>
      </c>
      <c r="F222" s="293" t="s">
        <v>586</v>
      </c>
      <c r="G222" s="226" t="s">
        <v>570</v>
      </c>
      <c r="H222" s="274">
        <f>15360+100</f>
        <v>15460</v>
      </c>
      <c r="I222" s="9"/>
      <c r="J222" s="11"/>
      <c r="K222" s="10">
        <f t="shared" si="3"/>
        <v>-589960</v>
      </c>
      <c r="L222" s="233">
        <v>500</v>
      </c>
      <c r="M222" s="5" t="s">
        <v>646</v>
      </c>
      <c r="N222" s="88"/>
      <c r="O222">
        <v>0</v>
      </c>
    </row>
    <row r="223" spans="1:15" ht="15">
      <c r="A223" s="88"/>
      <c r="B223" s="236">
        <v>43794</v>
      </c>
      <c r="C223" s="15" t="s">
        <v>560</v>
      </c>
      <c r="D223" s="246" t="s">
        <v>69</v>
      </c>
      <c r="E223" s="237" t="s">
        <v>358</v>
      </c>
      <c r="F223" s="293" t="s">
        <v>587</v>
      </c>
      <c r="G223" s="226" t="s">
        <v>59</v>
      </c>
      <c r="H223" s="275">
        <v>24570</v>
      </c>
      <c r="I223" s="9"/>
      <c r="J223" s="11"/>
      <c r="K223" s="10">
        <f t="shared" si="3"/>
        <v>-614530</v>
      </c>
      <c r="L223"/>
      <c r="N223" s="88"/>
    </row>
    <row r="224" spans="1:15" ht="15">
      <c r="A224" s="88"/>
      <c r="B224" s="236">
        <v>43794</v>
      </c>
      <c r="C224" s="15" t="s">
        <v>561</v>
      </c>
      <c r="D224" s="242" t="s">
        <v>328</v>
      </c>
      <c r="E224" s="237" t="s">
        <v>573</v>
      </c>
      <c r="F224" s="293" t="s">
        <v>588</v>
      </c>
      <c r="G224" s="226" t="s">
        <v>569</v>
      </c>
      <c r="H224" s="274">
        <v>19000</v>
      </c>
      <c r="I224" s="9"/>
      <c r="J224" s="11"/>
      <c r="K224" s="10">
        <f t="shared" si="3"/>
        <v>-633530</v>
      </c>
      <c r="L224" s="233">
        <v>500</v>
      </c>
      <c r="M224" s="5" t="s">
        <v>647</v>
      </c>
      <c r="N224" s="88"/>
      <c r="O224">
        <v>0</v>
      </c>
    </row>
    <row r="225" spans="1:15" ht="15">
      <c r="A225" s="88"/>
      <c r="B225" s="236">
        <v>43794</v>
      </c>
      <c r="C225" s="15" t="s">
        <v>562</v>
      </c>
      <c r="D225" s="243" t="s">
        <v>2</v>
      </c>
      <c r="E225" s="237" t="s">
        <v>575</v>
      </c>
      <c r="F225" s="293" t="s">
        <v>589</v>
      </c>
      <c r="G225" s="226" t="s">
        <v>433</v>
      </c>
      <c r="H225" s="274">
        <f>34920+100</f>
        <v>35020</v>
      </c>
      <c r="I225" s="9"/>
      <c r="J225" s="11"/>
      <c r="K225" s="10">
        <f t="shared" si="3"/>
        <v>-668550</v>
      </c>
      <c r="L225" s="234"/>
      <c r="N225" s="88"/>
    </row>
    <row r="226" spans="1:15" ht="15">
      <c r="A226" s="88"/>
      <c r="B226" s="236">
        <v>43795</v>
      </c>
      <c r="C226" s="15" t="s">
        <v>563</v>
      </c>
      <c r="D226" s="242" t="s">
        <v>328</v>
      </c>
      <c r="E226" s="237" t="s">
        <v>590</v>
      </c>
      <c r="F226" s="293" t="s">
        <v>591</v>
      </c>
      <c r="G226" s="226" t="s">
        <v>569</v>
      </c>
      <c r="H226" s="274">
        <v>23040</v>
      </c>
      <c r="I226" s="9"/>
      <c r="J226" s="11"/>
      <c r="K226" s="10">
        <f t="shared" si="3"/>
        <v>-691590</v>
      </c>
      <c r="L226" s="233">
        <v>1000</v>
      </c>
      <c r="M226" s="5" t="s">
        <v>19</v>
      </c>
      <c r="N226" s="88"/>
      <c r="O226">
        <v>1000</v>
      </c>
    </row>
    <row r="227" spans="1:15" ht="15">
      <c r="A227" s="88"/>
      <c r="B227" s="236">
        <v>43795</v>
      </c>
      <c r="C227" s="15" t="s">
        <v>564</v>
      </c>
      <c r="D227" s="244" t="s">
        <v>469</v>
      </c>
      <c r="E227" s="237" t="s">
        <v>592</v>
      </c>
      <c r="F227" s="293" t="s">
        <v>593</v>
      </c>
      <c r="G227" s="226" t="s">
        <v>461</v>
      </c>
      <c r="H227" s="274">
        <v>11520</v>
      </c>
      <c r="I227" s="9"/>
      <c r="J227" s="11"/>
      <c r="K227" s="10">
        <f t="shared" si="3"/>
        <v>-703110</v>
      </c>
      <c r="L227" s="233">
        <v>200</v>
      </c>
      <c r="M227" s="5" t="s">
        <v>646</v>
      </c>
      <c r="N227" s="88"/>
      <c r="O227">
        <v>0</v>
      </c>
    </row>
    <row r="228" spans="1:15" ht="15">
      <c r="A228" s="88"/>
      <c r="B228" s="236">
        <v>43795</v>
      </c>
      <c r="C228" s="15" t="s">
        <v>565</v>
      </c>
      <c r="D228" s="242" t="s">
        <v>328</v>
      </c>
      <c r="E228" s="237" t="s">
        <v>590</v>
      </c>
      <c r="F228" s="293" t="s">
        <v>594</v>
      </c>
      <c r="G228" s="226" t="s">
        <v>569</v>
      </c>
      <c r="H228" s="274">
        <v>23040</v>
      </c>
      <c r="I228" s="9"/>
      <c r="J228" s="11"/>
      <c r="K228" s="10">
        <f t="shared" si="3"/>
        <v>-726150</v>
      </c>
      <c r="L228" s="233">
        <v>0</v>
      </c>
      <c r="M228" s="5" t="s">
        <v>646</v>
      </c>
      <c r="N228" s="88"/>
      <c r="O228">
        <v>0</v>
      </c>
    </row>
    <row r="229" spans="1:15" ht="15">
      <c r="A229" s="88"/>
      <c r="B229" s="236">
        <v>43796</v>
      </c>
      <c r="C229" s="15" t="s">
        <v>566</v>
      </c>
      <c r="D229" s="243" t="s">
        <v>2</v>
      </c>
      <c r="E229" s="237" t="s">
        <v>595</v>
      </c>
      <c r="F229" s="293" t="s">
        <v>596</v>
      </c>
      <c r="G229" s="226" t="s">
        <v>338</v>
      </c>
      <c r="H229" s="274">
        <v>27840</v>
      </c>
      <c r="I229" s="9"/>
      <c r="J229" s="11"/>
      <c r="K229" s="10">
        <f t="shared" si="3"/>
        <v>-753990</v>
      </c>
      <c r="N229" s="88"/>
    </row>
    <row r="230" spans="1:15" ht="15">
      <c r="A230" s="88"/>
      <c r="B230" s="236">
        <v>43796</v>
      </c>
      <c r="C230" s="15" t="s">
        <v>567</v>
      </c>
      <c r="D230" s="246" t="s">
        <v>69</v>
      </c>
      <c r="E230" s="237" t="s">
        <v>583</v>
      </c>
      <c r="F230" s="293" t="s">
        <v>597</v>
      </c>
      <c r="G230" s="226" t="s">
        <v>59</v>
      </c>
      <c r="H230" s="274">
        <v>19400</v>
      </c>
      <c r="I230" s="9"/>
      <c r="J230" s="11"/>
      <c r="K230" s="10">
        <f t="shared" si="3"/>
        <v>-773390</v>
      </c>
      <c r="N230" s="88"/>
      <c r="O230" s="259"/>
    </row>
    <row r="231" spans="1:15" ht="15">
      <c r="A231" s="88"/>
      <c r="B231" s="100">
        <v>43799</v>
      </c>
      <c r="C231" s="103" t="s">
        <v>68</v>
      </c>
      <c r="D231" s="256"/>
      <c r="E231" s="256"/>
      <c r="F231" s="115">
        <f>5000*7+1000*78+500*45+100*20</f>
        <v>137500</v>
      </c>
      <c r="G231" s="101"/>
      <c r="H231" s="269"/>
      <c r="I231" s="9">
        <v>137500</v>
      </c>
      <c r="J231" s="11"/>
      <c r="K231" s="10">
        <f t="shared" si="3"/>
        <v>-635890</v>
      </c>
      <c r="N231" s="88"/>
    </row>
    <row r="232" spans="1:15" ht="15">
      <c r="A232" s="88"/>
      <c r="B232" s="235">
        <v>43801</v>
      </c>
      <c r="C232" s="228" t="s">
        <v>621</v>
      </c>
      <c r="D232" s="247" t="s">
        <v>599</v>
      </c>
      <c r="E232" s="226" t="s">
        <v>585</v>
      </c>
      <c r="F232" s="292" t="s">
        <v>600</v>
      </c>
      <c r="G232" s="226" t="s">
        <v>570</v>
      </c>
      <c r="H232" s="276">
        <v>15360</v>
      </c>
      <c r="I232" s="9"/>
      <c r="J232" s="11"/>
      <c r="K232" s="10">
        <f t="shared" si="3"/>
        <v>-651250</v>
      </c>
      <c r="L232" s="5">
        <v>500</v>
      </c>
      <c r="M232" s="5" t="s">
        <v>19</v>
      </c>
      <c r="N232" s="88"/>
      <c r="O232">
        <v>500</v>
      </c>
    </row>
    <row r="233" spans="1:15" ht="15">
      <c r="A233" s="88"/>
      <c r="B233" s="235">
        <v>43801</v>
      </c>
      <c r="C233" s="228" t="s">
        <v>622</v>
      </c>
      <c r="D233" s="240" t="s">
        <v>598</v>
      </c>
      <c r="E233" s="226" t="s">
        <v>358</v>
      </c>
      <c r="F233" s="292" t="s">
        <v>601</v>
      </c>
      <c r="G233" s="226" t="s">
        <v>59</v>
      </c>
      <c r="H233" s="276">
        <v>22400</v>
      </c>
      <c r="I233" s="9"/>
      <c r="J233" s="11"/>
      <c r="K233" s="10">
        <f t="shared" si="3"/>
        <v>-673650</v>
      </c>
      <c r="N233" s="88"/>
    </row>
    <row r="234" spans="1:15" ht="15">
      <c r="A234" s="88"/>
      <c r="B234" s="235">
        <v>43801</v>
      </c>
      <c r="C234" s="228" t="s">
        <v>623</v>
      </c>
      <c r="D234" s="240" t="s">
        <v>598</v>
      </c>
      <c r="E234" s="226" t="s">
        <v>602</v>
      </c>
      <c r="F234" s="292" t="s">
        <v>603</v>
      </c>
      <c r="G234" s="226"/>
      <c r="H234" s="276">
        <v>27000</v>
      </c>
      <c r="I234" s="9"/>
      <c r="J234" s="11"/>
      <c r="K234" s="10">
        <f t="shared" si="3"/>
        <v>-700650</v>
      </c>
      <c r="N234" s="88"/>
    </row>
    <row r="235" spans="1:15" ht="15">
      <c r="A235" s="88"/>
      <c r="B235" s="235">
        <v>43802</v>
      </c>
      <c r="C235" s="228" t="s">
        <v>624</v>
      </c>
      <c r="D235" s="247" t="s">
        <v>599</v>
      </c>
      <c r="E235" s="226" t="s">
        <v>585</v>
      </c>
      <c r="F235" s="292" t="s">
        <v>604</v>
      </c>
      <c r="G235" s="226" t="s">
        <v>570</v>
      </c>
      <c r="H235" s="276">
        <v>15360</v>
      </c>
      <c r="I235" s="9"/>
      <c r="J235" s="11"/>
      <c r="K235" s="10">
        <f t="shared" si="3"/>
        <v>-716010</v>
      </c>
      <c r="L235" s="5">
        <v>500</v>
      </c>
      <c r="M235" s="5" t="s">
        <v>19</v>
      </c>
      <c r="N235" s="88"/>
      <c r="O235">
        <v>500</v>
      </c>
    </row>
    <row r="236" spans="1:15" ht="15">
      <c r="A236" s="88"/>
      <c r="B236" s="253">
        <v>43802</v>
      </c>
      <c r="C236" s="228" t="s">
        <v>625</v>
      </c>
      <c r="D236" s="248" t="s">
        <v>300</v>
      </c>
      <c r="E236" s="249" t="s">
        <v>605</v>
      </c>
      <c r="F236" s="294" t="s">
        <v>606</v>
      </c>
      <c r="G236" s="249"/>
      <c r="H236" s="276">
        <v>22500</v>
      </c>
      <c r="I236" s="9"/>
      <c r="J236" s="11"/>
      <c r="K236" s="10">
        <f t="shared" si="3"/>
        <v>-738510</v>
      </c>
      <c r="N236" s="88"/>
    </row>
    <row r="237" spans="1:15" ht="15">
      <c r="A237" s="88"/>
      <c r="B237" s="235">
        <v>43805</v>
      </c>
      <c r="C237" s="228" t="s">
        <v>626</v>
      </c>
      <c r="D237" s="250" t="s">
        <v>607</v>
      </c>
      <c r="E237" s="226" t="s">
        <v>508</v>
      </c>
      <c r="F237" s="292" t="s">
        <v>608</v>
      </c>
      <c r="G237" s="226" t="s">
        <v>59</v>
      </c>
      <c r="H237" s="276">
        <v>21600</v>
      </c>
      <c r="I237" s="9"/>
      <c r="J237" s="11"/>
      <c r="K237" s="10">
        <f t="shared" si="3"/>
        <v>-760110</v>
      </c>
      <c r="N237" s="88"/>
    </row>
    <row r="238" spans="1:15" ht="15">
      <c r="A238" s="88"/>
      <c r="B238" s="253">
        <v>43805</v>
      </c>
      <c r="C238" s="228" t="s">
        <v>627</v>
      </c>
      <c r="D238" s="250" t="s">
        <v>607</v>
      </c>
      <c r="E238" s="249" t="s">
        <v>609</v>
      </c>
      <c r="F238" s="294" t="s">
        <v>610</v>
      </c>
      <c r="G238" s="249" t="s">
        <v>112</v>
      </c>
      <c r="H238" s="276">
        <v>29760</v>
      </c>
      <c r="I238" s="9"/>
      <c r="J238" s="11"/>
      <c r="K238" s="10">
        <f t="shared" si="3"/>
        <v>-789870</v>
      </c>
      <c r="N238" s="88"/>
    </row>
    <row r="239" spans="1:15" ht="15">
      <c r="A239" s="88"/>
      <c r="B239" s="254">
        <v>43809</v>
      </c>
      <c r="C239" s="228" t="s">
        <v>628</v>
      </c>
      <c r="D239" s="251" t="s">
        <v>611</v>
      </c>
      <c r="E239" s="226" t="s">
        <v>612</v>
      </c>
      <c r="F239" s="290" t="s">
        <v>613</v>
      </c>
      <c r="G239" s="118" t="s">
        <v>55</v>
      </c>
      <c r="H239" s="277">
        <v>10200</v>
      </c>
      <c r="I239" s="9"/>
      <c r="J239" s="11"/>
      <c r="K239" s="10">
        <f t="shared" si="3"/>
        <v>-800070</v>
      </c>
      <c r="N239" s="88"/>
    </row>
    <row r="240" spans="1:15" ht="15">
      <c r="A240" s="88"/>
      <c r="B240" s="253">
        <v>43812</v>
      </c>
      <c r="C240" s="228" t="s">
        <v>629</v>
      </c>
      <c r="D240" s="248" t="s">
        <v>300</v>
      </c>
      <c r="E240" s="249" t="s">
        <v>614</v>
      </c>
      <c r="F240" s="294" t="s">
        <v>615</v>
      </c>
      <c r="G240" s="249"/>
      <c r="H240" s="276">
        <v>34600</v>
      </c>
      <c r="I240" s="9"/>
      <c r="J240" s="11"/>
      <c r="K240" s="10">
        <f t="shared" si="3"/>
        <v>-834670</v>
      </c>
      <c r="N240" s="88"/>
    </row>
    <row r="241" spans="1:15" ht="15">
      <c r="A241" s="88"/>
      <c r="B241" s="235">
        <v>43813</v>
      </c>
      <c r="C241" s="228" t="s">
        <v>630</v>
      </c>
      <c r="D241" s="247" t="s">
        <v>599</v>
      </c>
      <c r="E241" s="226" t="s">
        <v>585</v>
      </c>
      <c r="F241" s="292" t="s">
        <v>616</v>
      </c>
      <c r="G241" s="226"/>
      <c r="H241" s="276">
        <v>15360</v>
      </c>
      <c r="I241" s="9"/>
      <c r="J241" s="11"/>
      <c r="K241" s="10">
        <f t="shared" si="3"/>
        <v>-850030</v>
      </c>
      <c r="L241" s="5">
        <v>500</v>
      </c>
      <c r="M241" s="5" t="s">
        <v>19</v>
      </c>
      <c r="N241" s="88"/>
      <c r="O241">
        <v>500</v>
      </c>
    </row>
    <row r="242" spans="1:15" ht="15">
      <c r="A242" s="88"/>
      <c r="B242" s="235">
        <v>43813</v>
      </c>
      <c r="C242" s="228" t="s">
        <v>631</v>
      </c>
      <c r="D242" s="247" t="s">
        <v>599</v>
      </c>
      <c r="E242" s="226" t="s">
        <v>585</v>
      </c>
      <c r="F242" s="292" t="s">
        <v>617</v>
      </c>
      <c r="G242" s="226"/>
      <c r="H242" s="276">
        <v>15360</v>
      </c>
      <c r="I242" s="9"/>
      <c r="J242" s="11"/>
      <c r="K242" s="10">
        <f t="shared" si="3"/>
        <v>-865390</v>
      </c>
      <c r="L242" s="5">
        <v>500</v>
      </c>
      <c r="M242" s="5" t="s">
        <v>646</v>
      </c>
      <c r="N242" s="88"/>
      <c r="O242">
        <v>0</v>
      </c>
    </row>
    <row r="243" spans="1:15" ht="15">
      <c r="A243" s="88"/>
      <c r="B243" s="235">
        <v>43817</v>
      </c>
      <c r="C243" s="228" t="s">
        <v>632</v>
      </c>
      <c r="D243" s="252" t="s">
        <v>618</v>
      </c>
      <c r="E243" s="226" t="s">
        <v>343</v>
      </c>
      <c r="F243" s="292" t="s">
        <v>619</v>
      </c>
      <c r="G243" s="226" t="s">
        <v>1</v>
      </c>
      <c r="H243" s="276">
        <v>22000</v>
      </c>
      <c r="I243" s="9"/>
      <c r="J243" s="11"/>
      <c r="K243" s="10">
        <f t="shared" si="3"/>
        <v>-887390</v>
      </c>
      <c r="N243" s="88"/>
    </row>
    <row r="244" spans="1:15" ht="15">
      <c r="A244" s="88"/>
      <c r="B244" s="235">
        <v>43819</v>
      </c>
      <c r="C244" s="228" t="s">
        <v>633</v>
      </c>
      <c r="D244" s="240" t="s">
        <v>598</v>
      </c>
      <c r="E244" s="226" t="s">
        <v>583</v>
      </c>
      <c r="F244" s="292" t="s">
        <v>620</v>
      </c>
      <c r="G244" s="226" t="s">
        <v>1</v>
      </c>
      <c r="H244" s="276">
        <v>19400</v>
      </c>
      <c r="I244" s="9"/>
      <c r="J244" s="11"/>
      <c r="K244" s="10">
        <f t="shared" si="3"/>
        <v>-906790</v>
      </c>
      <c r="N244" s="88"/>
    </row>
    <row r="245" spans="1:15" ht="15">
      <c r="A245" s="88"/>
      <c r="B245" s="100">
        <v>43820</v>
      </c>
      <c r="C245" s="103" t="s">
        <v>68</v>
      </c>
      <c r="D245" s="256"/>
      <c r="E245" s="256"/>
      <c r="F245" s="115">
        <v>150000</v>
      </c>
      <c r="G245" s="101"/>
      <c r="H245" s="269"/>
      <c r="I245" s="9">
        <v>150000</v>
      </c>
      <c r="J245" s="11"/>
      <c r="K245" s="10">
        <f t="shared" si="3"/>
        <v>-756790</v>
      </c>
      <c r="N245" s="88"/>
    </row>
    <row r="246" spans="1:15" ht="15">
      <c r="A246" s="88"/>
      <c r="B246" s="253">
        <v>43820</v>
      </c>
      <c r="C246" s="228" t="s">
        <v>634</v>
      </c>
      <c r="D246" s="240" t="s">
        <v>598</v>
      </c>
      <c r="E246" s="249" t="s">
        <v>639</v>
      </c>
      <c r="F246" s="294" t="s">
        <v>640</v>
      </c>
      <c r="G246" s="249"/>
      <c r="H246" s="276">
        <v>40900</v>
      </c>
      <c r="I246" s="9"/>
      <c r="J246" s="11"/>
      <c r="K246" s="10">
        <f t="shared" si="3"/>
        <v>-797690</v>
      </c>
      <c r="N246" s="88"/>
    </row>
    <row r="247" spans="1:15" ht="15">
      <c r="A247" s="88"/>
      <c r="B247" s="235">
        <v>43822</v>
      </c>
      <c r="C247" s="228" t="s">
        <v>635</v>
      </c>
      <c r="D247" s="247" t="s">
        <v>599</v>
      </c>
      <c r="E247" s="226" t="s">
        <v>585</v>
      </c>
      <c r="F247" s="292" t="s">
        <v>641</v>
      </c>
      <c r="G247" s="226" t="s">
        <v>638</v>
      </c>
      <c r="H247" s="276">
        <v>15360</v>
      </c>
      <c r="I247" s="9"/>
      <c r="J247" s="11"/>
      <c r="K247" s="10">
        <f t="shared" si="3"/>
        <v>-813050</v>
      </c>
      <c r="L247" s="5">
        <v>500</v>
      </c>
      <c r="M247" s="5" t="s">
        <v>646</v>
      </c>
      <c r="N247" s="88"/>
      <c r="O247">
        <v>0</v>
      </c>
    </row>
    <row r="248" spans="1:15" ht="15">
      <c r="A248" s="88"/>
      <c r="B248" s="235">
        <v>43822</v>
      </c>
      <c r="C248" s="228" t="s">
        <v>636</v>
      </c>
      <c r="D248" s="250" t="s">
        <v>607</v>
      </c>
      <c r="E248" s="226" t="s">
        <v>508</v>
      </c>
      <c r="F248" s="292" t="s">
        <v>642</v>
      </c>
      <c r="G248" s="226" t="s">
        <v>1</v>
      </c>
      <c r="H248" s="276">
        <v>21600</v>
      </c>
      <c r="I248" s="9"/>
      <c r="J248" s="11"/>
      <c r="K248" s="10">
        <f t="shared" si="3"/>
        <v>-834650</v>
      </c>
      <c r="N248" s="88"/>
    </row>
    <row r="249" spans="1:15" ht="15">
      <c r="A249" s="88"/>
      <c r="B249" s="235">
        <v>43826</v>
      </c>
      <c r="C249" s="228" t="s">
        <v>637</v>
      </c>
      <c r="D249" s="255" t="s">
        <v>643</v>
      </c>
      <c r="E249" s="226" t="s">
        <v>590</v>
      </c>
      <c r="F249" s="292" t="s">
        <v>644</v>
      </c>
      <c r="G249" s="226" t="s">
        <v>569</v>
      </c>
      <c r="H249" s="276">
        <v>23040</v>
      </c>
      <c r="I249" s="9"/>
      <c r="J249" s="11"/>
      <c r="K249" s="10">
        <f t="shared" si="3"/>
        <v>-857690</v>
      </c>
      <c r="L249" s="5">
        <v>1000</v>
      </c>
      <c r="M249" s="5" t="s">
        <v>647</v>
      </c>
      <c r="N249" s="88"/>
      <c r="O249">
        <v>0</v>
      </c>
    </row>
    <row r="250" spans="1:15" ht="15">
      <c r="A250" s="88"/>
      <c r="B250" s="100">
        <v>43827</v>
      </c>
      <c r="C250" s="103" t="s">
        <v>68</v>
      </c>
      <c r="D250" s="256"/>
      <c r="E250" s="256"/>
      <c r="F250" s="115">
        <f>5000*15+1000*125</f>
        <v>200000</v>
      </c>
      <c r="G250" s="101"/>
      <c r="H250" s="269"/>
      <c r="I250" s="9">
        <v>200000</v>
      </c>
      <c r="J250" s="11"/>
      <c r="K250" s="10">
        <f t="shared" si="3"/>
        <v>-657690</v>
      </c>
      <c r="L250" s="142">
        <f>SUM(H232:H249)</f>
        <v>371800</v>
      </c>
      <c r="N250" s="88"/>
    </row>
    <row r="251" spans="1:15" ht="15">
      <c r="A251" s="88"/>
      <c r="B251" s="100">
        <v>43847</v>
      </c>
      <c r="C251" s="103" t="s">
        <v>68</v>
      </c>
      <c r="D251" s="256"/>
      <c r="E251" s="256"/>
      <c r="F251" s="115">
        <v>50000</v>
      </c>
      <c r="G251" s="101"/>
      <c r="H251" s="269"/>
      <c r="I251" s="9">
        <v>50000</v>
      </c>
      <c r="J251" s="11"/>
      <c r="K251" s="10">
        <f t="shared" si="3"/>
        <v>-607690</v>
      </c>
      <c r="N251" s="88"/>
    </row>
    <row r="252" spans="1:15" ht="15">
      <c r="A252" s="88"/>
      <c r="B252" s="100">
        <v>43852</v>
      </c>
      <c r="C252" s="103" t="s">
        <v>68</v>
      </c>
      <c r="D252" s="256"/>
      <c r="E252" s="256"/>
      <c r="F252" s="115">
        <f>5000*12+1000*35+500*80</f>
        <v>135000</v>
      </c>
      <c r="G252" s="101"/>
      <c r="H252" s="269"/>
      <c r="I252" s="9">
        <v>135000</v>
      </c>
      <c r="J252" s="11"/>
      <c r="K252" s="10">
        <f t="shared" si="3"/>
        <v>-472690</v>
      </c>
      <c r="N252" s="88"/>
    </row>
    <row r="253" spans="1:15" ht="15">
      <c r="A253" s="88"/>
      <c r="B253" s="280">
        <v>43848</v>
      </c>
      <c r="C253" s="15" t="s">
        <v>648</v>
      </c>
      <c r="D253" s="119" t="s">
        <v>607</v>
      </c>
      <c r="E253" s="261" t="s">
        <v>664</v>
      </c>
      <c r="F253" s="262">
        <v>353246115085542</v>
      </c>
      <c r="G253" s="267" t="s">
        <v>1</v>
      </c>
      <c r="H253" s="279">
        <v>27840</v>
      </c>
      <c r="I253" s="9"/>
      <c r="J253" s="11"/>
      <c r="K253" s="10">
        <f t="shared" si="3"/>
        <v>-500530</v>
      </c>
      <c r="N253" s="88"/>
    </row>
    <row r="254" spans="1:15" ht="15">
      <c r="A254" s="88"/>
      <c r="B254" s="280">
        <v>43832</v>
      </c>
      <c r="C254" s="15" t="s">
        <v>649</v>
      </c>
      <c r="D254" s="266" t="s">
        <v>643</v>
      </c>
      <c r="E254" s="226" t="s">
        <v>665</v>
      </c>
      <c r="F254" s="292" t="s">
        <v>666</v>
      </c>
      <c r="G254" s="226" t="s">
        <v>680</v>
      </c>
      <c r="H254" s="279">
        <v>20160</v>
      </c>
      <c r="I254" s="9"/>
      <c r="J254" s="11"/>
      <c r="K254" s="10">
        <f t="shared" si="3"/>
        <v>-520690</v>
      </c>
      <c r="N254" s="88"/>
    </row>
    <row r="255" spans="1:15" ht="15">
      <c r="A255" s="88"/>
      <c r="B255" s="280">
        <v>43833</v>
      </c>
      <c r="C255" s="15" t="s">
        <v>650</v>
      </c>
      <c r="D255" s="264" t="s">
        <v>598</v>
      </c>
      <c r="E255" s="261" t="s">
        <v>667</v>
      </c>
      <c r="F255" s="262">
        <v>864363040804517</v>
      </c>
      <c r="G255" s="267" t="s">
        <v>681</v>
      </c>
      <c r="H255" s="279">
        <v>27000</v>
      </c>
      <c r="I255" s="9"/>
      <c r="J255" s="11"/>
      <c r="K255" s="10">
        <f t="shared" si="3"/>
        <v>-547690</v>
      </c>
      <c r="N255" s="88"/>
    </row>
    <row r="256" spans="1:15" ht="15">
      <c r="A256" s="88"/>
      <c r="B256" s="280">
        <v>43836</v>
      </c>
      <c r="C256" s="15" t="s">
        <v>651</v>
      </c>
      <c r="D256" s="263" t="s">
        <v>598</v>
      </c>
      <c r="E256" s="226" t="s">
        <v>358</v>
      </c>
      <c r="F256" s="292" t="s">
        <v>668</v>
      </c>
      <c r="G256" s="226" t="s">
        <v>1</v>
      </c>
      <c r="H256" s="279">
        <f>22400+100</f>
        <v>22500</v>
      </c>
      <c r="I256" s="9"/>
      <c r="J256" s="11"/>
      <c r="K256" s="10">
        <f t="shared" si="3"/>
        <v>-570190</v>
      </c>
      <c r="N256" s="88"/>
    </row>
    <row r="257" spans="1:14" ht="15">
      <c r="A257" s="88"/>
      <c r="B257" s="280">
        <v>43838</v>
      </c>
      <c r="C257" s="15" t="s">
        <v>652</v>
      </c>
      <c r="D257" s="264" t="s">
        <v>599</v>
      </c>
      <c r="E257" s="261" t="s">
        <v>669</v>
      </c>
      <c r="F257" s="262">
        <v>359070102237765</v>
      </c>
      <c r="G257" s="267" t="s">
        <v>682</v>
      </c>
      <c r="H257" s="279">
        <v>19100</v>
      </c>
      <c r="I257" s="9"/>
      <c r="J257" s="11"/>
      <c r="K257" s="10">
        <f t="shared" si="3"/>
        <v>-589290</v>
      </c>
      <c r="N257" s="88"/>
    </row>
    <row r="258" spans="1:14" ht="15">
      <c r="A258" s="88"/>
      <c r="B258" s="280">
        <v>43839</v>
      </c>
      <c r="C258" s="15" t="s">
        <v>653</v>
      </c>
      <c r="D258" s="119" t="s">
        <v>607</v>
      </c>
      <c r="E258" s="226" t="s">
        <v>508</v>
      </c>
      <c r="F258" s="292" t="s">
        <v>670</v>
      </c>
      <c r="G258" s="226" t="s">
        <v>1</v>
      </c>
      <c r="H258" s="279">
        <v>21600</v>
      </c>
      <c r="I258" s="9"/>
      <c r="J258" s="11"/>
      <c r="K258" s="10">
        <f t="shared" si="3"/>
        <v>-610890</v>
      </c>
      <c r="N258" s="88"/>
    </row>
    <row r="259" spans="1:14" ht="15">
      <c r="A259" s="88"/>
      <c r="B259" s="280">
        <v>43841</v>
      </c>
      <c r="C259" s="15" t="s">
        <v>654</v>
      </c>
      <c r="D259" s="264" t="s">
        <v>599</v>
      </c>
      <c r="E259" s="261" t="s">
        <v>669</v>
      </c>
      <c r="F259" s="262">
        <v>359070102287422</v>
      </c>
      <c r="G259" s="267"/>
      <c r="H259" s="279">
        <v>19300</v>
      </c>
      <c r="I259" s="9"/>
      <c r="J259" s="11"/>
      <c r="K259" s="10">
        <f t="shared" si="3"/>
        <v>-630190</v>
      </c>
      <c r="N259" s="88"/>
    </row>
    <row r="260" spans="1:14" ht="15">
      <c r="A260" s="88"/>
      <c r="B260" s="280">
        <v>43841</v>
      </c>
      <c r="C260" s="15" t="s">
        <v>655</v>
      </c>
      <c r="D260" s="264" t="s">
        <v>671</v>
      </c>
      <c r="E260" s="261" t="s">
        <v>672</v>
      </c>
      <c r="F260" s="262">
        <v>865965040451633</v>
      </c>
      <c r="G260" s="267" t="s">
        <v>59</v>
      </c>
      <c r="H260" s="279">
        <f>18500+50</f>
        <v>18550</v>
      </c>
      <c r="I260" s="9"/>
      <c r="J260" s="11"/>
      <c r="K260" s="10">
        <f t="shared" si="3"/>
        <v>-648740</v>
      </c>
      <c r="N260" s="88"/>
    </row>
    <row r="261" spans="1:14" ht="15">
      <c r="A261" s="88"/>
      <c r="B261" s="280">
        <v>43843</v>
      </c>
      <c r="C261" s="15" t="s">
        <v>656</v>
      </c>
      <c r="D261" s="264" t="s">
        <v>618</v>
      </c>
      <c r="E261" s="261" t="s">
        <v>673</v>
      </c>
      <c r="F261" s="262">
        <v>864734041947077</v>
      </c>
      <c r="G261" s="267" t="s">
        <v>683</v>
      </c>
      <c r="H261" s="279">
        <v>18240</v>
      </c>
      <c r="I261" s="9"/>
      <c r="J261" s="11"/>
      <c r="K261" s="10">
        <f t="shared" si="3"/>
        <v>-666980</v>
      </c>
      <c r="N261" s="88"/>
    </row>
    <row r="262" spans="1:14" ht="15">
      <c r="A262" s="88"/>
      <c r="B262" s="280">
        <v>43845</v>
      </c>
      <c r="C262" s="15" t="s">
        <v>657</v>
      </c>
      <c r="D262" s="265" t="s">
        <v>598</v>
      </c>
      <c r="E262" s="226" t="s">
        <v>358</v>
      </c>
      <c r="F262" s="292" t="s">
        <v>674</v>
      </c>
      <c r="G262" s="226" t="s">
        <v>59</v>
      </c>
      <c r="H262" s="279">
        <v>22400</v>
      </c>
      <c r="I262" s="9"/>
      <c r="J262" s="11"/>
      <c r="K262" s="10">
        <f t="shared" si="3"/>
        <v>-689380</v>
      </c>
      <c r="N262" s="88"/>
    </row>
    <row r="263" spans="1:14" ht="15">
      <c r="A263" s="88"/>
      <c r="B263" s="280">
        <v>43848</v>
      </c>
      <c r="C263" s="15" t="s">
        <v>658</v>
      </c>
      <c r="D263" s="119" t="s">
        <v>300</v>
      </c>
      <c r="E263" s="261" t="s">
        <v>675</v>
      </c>
      <c r="F263" s="262">
        <v>865421049405618</v>
      </c>
      <c r="G263" s="267" t="s">
        <v>684</v>
      </c>
      <c r="H263" s="279">
        <v>29100</v>
      </c>
      <c r="I263" s="9"/>
      <c r="J263" s="11"/>
      <c r="K263" s="10">
        <f t="shared" si="3"/>
        <v>-718480</v>
      </c>
      <c r="N263" s="88"/>
    </row>
    <row r="264" spans="1:14" ht="15">
      <c r="A264" s="88"/>
      <c r="B264" s="280">
        <v>43850</v>
      </c>
      <c r="C264" s="15" t="s">
        <v>659</v>
      </c>
      <c r="D264" s="119" t="s">
        <v>599</v>
      </c>
      <c r="E264" s="261" t="s">
        <v>585</v>
      </c>
      <c r="F264" s="262">
        <v>359068107270807</v>
      </c>
      <c r="G264" s="267" t="s">
        <v>685</v>
      </c>
      <c r="H264" s="279">
        <v>15200</v>
      </c>
      <c r="I264" s="9"/>
      <c r="J264" s="11"/>
      <c r="K264" s="10">
        <f t="shared" si="3"/>
        <v>-733680</v>
      </c>
      <c r="N264" s="88"/>
    </row>
    <row r="265" spans="1:14" ht="15">
      <c r="A265" s="88"/>
      <c r="B265" s="280">
        <v>43853</v>
      </c>
      <c r="C265" s="15" t="s">
        <v>660</v>
      </c>
      <c r="D265" s="266" t="s">
        <v>643</v>
      </c>
      <c r="E265" s="261" t="s">
        <v>676</v>
      </c>
      <c r="F265" s="295">
        <v>359750107867589</v>
      </c>
      <c r="G265" s="267" t="s">
        <v>686</v>
      </c>
      <c r="H265" s="279">
        <v>26880</v>
      </c>
      <c r="I265" s="9"/>
      <c r="J265" s="11"/>
      <c r="K265" s="10">
        <f t="shared" ref="K265:K321" si="4">K264-H265+I265</f>
        <v>-760560</v>
      </c>
      <c r="N265" s="88"/>
    </row>
    <row r="266" spans="1:14" ht="15">
      <c r="A266" s="88"/>
      <c r="B266" s="280">
        <v>43853</v>
      </c>
      <c r="C266" s="15" t="s">
        <v>661</v>
      </c>
      <c r="D266" s="266" t="s">
        <v>643</v>
      </c>
      <c r="E266" s="261" t="s">
        <v>677</v>
      </c>
      <c r="F266" s="262">
        <v>357950106800985</v>
      </c>
      <c r="G266" s="267" t="s">
        <v>686</v>
      </c>
      <c r="H266" s="279">
        <v>20500</v>
      </c>
      <c r="I266" s="9"/>
      <c r="J266" s="11"/>
      <c r="K266" s="10">
        <f t="shared" si="4"/>
        <v>-781060</v>
      </c>
      <c r="N266" s="88"/>
    </row>
    <row r="267" spans="1:14" ht="15">
      <c r="A267" s="88"/>
      <c r="B267" s="280">
        <v>43839</v>
      </c>
      <c r="C267" s="15" t="s">
        <v>662</v>
      </c>
      <c r="D267" s="264" t="s">
        <v>607</v>
      </c>
      <c r="E267" s="261" t="s">
        <v>678</v>
      </c>
      <c r="F267" s="262">
        <v>352353111740079</v>
      </c>
      <c r="G267" s="267"/>
      <c r="H267" s="279">
        <v>51840</v>
      </c>
      <c r="I267" s="9"/>
      <c r="J267" s="11"/>
      <c r="K267" s="10">
        <f t="shared" si="4"/>
        <v>-832900</v>
      </c>
      <c r="N267" s="88"/>
    </row>
    <row r="268" spans="1:14" ht="15">
      <c r="A268" s="88"/>
      <c r="B268" s="280">
        <v>43855</v>
      </c>
      <c r="C268" s="15" t="s">
        <v>663</v>
      </c>
      <c r="D268" s="264" t="s">
        <v>607</v>
      </c>
      <c r="E268" s="261" t="s">
        <v>664</v>
      </c>
      <c r="F268" s="262">
        <v>353246113047916</v>
      </c>
      <c r="G268" s="267" t="s">
        <v>59</v>
      </c>
      <c r="H268" s="279">
        <v>27840</v>
      </c>
      <c r="I268" s="9"/>
      <c r="J268" s="11"/>
      <c r="K268" s="10">
        <f t="shared" si="4"/>
        <v>-860740</v>
      </c>
      <c r="N268" s="88"/>
    </row>
    <row r="269" spans="1:14" ht="15">
      <c r="A269" s="88"/>
      <c r="B269" s="280">
        <v>43855</v>
      </c>
      <c r="C269" s="15" t="s">
        <v>687</v>
      </c>
      <c r="D269" s="14" t="s">
        <v>643</v>
      </c>
      <c r="E269" s="232" t="s">
        <v>688</v>
      </c>
      <c r="F269" s="282" t="s">
        <v>689</v>
      </c>
      <c r="G269" s="12"/>
      <c r="H269" s="279">
        <v>11000</v>
      </c>
      <c r="I269" s="9"/>
      <c r="J269" s="11"/>
      <c r="K269" s="10">
        <f t="shared" si="4"/>
        <v>-871740</v>
      </c>
      <c r="L269" s="142">
        <f>SUM(H253:H269)</f>
        <v>399050</v>
      </c>
      <c r="N269" s="88"/>
    </row>
    <row r="270" spans="1:14" ht="15">
      <c r="A270" s="88"/>
      <c r="B270" s="100">
        <v>43867</v>
      </c>
      <c r="C270" s="103" t="s">
        <v>68</v>
      </c>
      <c r="D270" s="256"/>
      <c r="E270" s="256"/>
      <c r="F270" s="115">
        <f>1000*106+500*108</f>
        <v>160000</v>
      </c>
      <c r="G270" s="101"/>
      <c r="H270" s="269"/>
      <c r="I270" s="9">
        <v>160000</v>
      </c>
      <c r="J270" s="11"/>
      <c r="K270" s="10">
        <f t="shared" si="4"/>
        <v>-711740</v>
      </c>
      <c r="N270" s="88"/>
    </row>
    <row r="271" spans="1:14" ht="15">
      <c r="A271" s="88"/>
      <c r="B271" s="100">
        <v>43873</v>
      </c>
      <c r="C271" s="103" t="s">
        <v>68</v>
      </c>
      <c r="D271" s="256"/>
      <c r="E271" s="256"/>
      <c r="F271" s="115">
        <f>5000*17+1000*165</f>
        <v>250000</v>
      </c>
      <c r="G271" s="101"/>
      <c r="H271" s="269"/>
      <c r="I271" s="9">
        <v>250000</v>
      </c>
      <c r="J271" s="11"/>
      <c r="K271" s="10">
        <f t="shared" si="4"/>
        <v>-461740</v>
      </c>
      <c r="N271" s="88"/>
    </row>
    <row r="272" spans="1:14" ht="15">
      <c r="A272" s="88"/>
      <c r="B272" s="315">
        <v>43864</v>
      </c>
      <c r="C272" s="15" t="s">
        <v>725</v>
      </c>
      <c r="D272" s="302" t="s">
        <v>598</v>
      </c>
      <c r="E272" s="303" t="s">
        <v>690</v>
      </c>
      <c r="F272" s="304">
        <v>863854044747497</v>
      </c>
      <c r="G272" s="313" t="s">
        <v>700</v>
      </c>
      <c r="H272" s="298">
        <v>30720</v>
      </c>
      <c r="I272" s="9"/>
      <c r="J272" s="11"/>
      <c r="K272" s="10">
        <f t="shared" si="4"/>
        <v>-492460</v>
      </c>
      <c r="N272" s="88"/>
    </row>
    <row r="273" spans="1:17" ht="15">
      <c r="A273" s="88"/>
      <c r="B273" s="316">
        <v>43871</v>
      </c>
      <c r="C273" s="15" t="s">
        <v>726</v>
      </c>
      <c r="D273" s="305" t="s">
        <v>618</v>
      </c>
      <c r="E273" s="300" t="s">
        <v>691</v>
      </c>
      <c r="F273" s="301">
        <v>865881046168800</v>
      </c>
      <c r="G273" s="313" t="s">
        <v>701</v>
      </c>
      <c r="H273" s="298">
        <v>20090</v>
      </c>
      <c r="I273" s="9"/>
      <c r="J273" s="11"/>
      <c r="K273" s="10">
        <f t="shared" si="4"/>
        <v>-512550</v>
      </c>
      <c r="N273" s="88"/>
    </row>
    <row r="274" spans="1:17" ht="15">
      <c r="A274" s="88"/>
      <c r="B274" s="316">
        <v>43874</v>
      </c>
      <c r="C274" s="15" t="s">
        <v>727</v>
      </c>
      <c r="D274" s="306" t="s">
        <v>598</v>
      </c>
      <c r="E274" s="300" t="s">
        <v>692</v>
      </c>
      <c r="F274" s="301">
        <v>863854044886477</v>
      </c>
      <c r="G274" s="313" t="s">
        <v>700</v>
      </c>
      <c r="H274" s="298">
        <v>30720</v>
      </c>
      <c r="I274" s="9"/>
      <c r="J274" s="11"/>
      <c r="K274" s="10">
        <f t="shared" si="4"/>
        <v>-543270</v>
      </c>
      <c r="N274" s="88"/>
    </row>
    <row r="275" spans="1:17" ht="15">
      <c r="A275" s="88"/>
      <c r="B275" s="316">
        <v>43874</v>
      </c>
      <c r="C275" s="15" t="s">
        <v>728</v>
      </c>
      <c r="D275" s="307" t="s">
        <v>300</v>
      </c>
      <c r="E275" s="300" t="s">
        <v>693</v>
      </c>
      <c r="F275" s="301">
        <v>866809049867473</v>
      </c>
      <c r="G275" s="313" t="s">
        <v>702</v>
      </c>
      <c r="H275" s="298">
        <v>57600</v>
      </c>
      <c r="I275" s="9"/>
      <c r="J275" s="11"/>
      <c r="K275" s="10">
        <f t="shared" si="4"/>
        <v>-600870</v>
      </c>
      <c r="N275" s="88"/>
    </row>
    <row r="276" spans="1:17" ht="15">
      <c r="A276" s="88"/>
      <c r="B276" s="316">
        <v>43875</v>
      </c>
      <c r="C276" s="15" t="s">
        <v>729</v>
      </c>
      <c r="D276" s="308" t="s">
        <v>618</v>
      </c>
      <c r="E276" s="300" t="s">
        <v>694</v>
      </c>
      <c r="F276" s="301">
        <v>868307049531478</v>
      </c>
      <c r="G276" s="313" t="s">
        <v>703</v>
      </c>
      <c r="H276" s="298">
        <f>24100-100</f>
        <v>24000</v>
      </c>
      <c r="I276" s="9"/>
      <c r="J276" s="11"/>
      <c r="K276" s="10">
        <f t="shared" si="4"/>
        <v>-624870</v>
      </c>
      <c r="N276" s="88"/>
    </row>
    <row r="277" spans="1:17" ht="15">
      <c r="A277" s="88"/>
      <c r="B277" s="316">
        <v>43875</v>
      </c>
      <c r="C277" s="15" t="s">
        <v>730</v>
      </c>
      <c r="D277" s="306" t="s">
        <v>598</v>
      </c>
      <c r="E277" s="300" t="s">
        <v>358</v>
      </c>
      <c r="F277" s="301">
        <v>868538044440816</v>
      </c>
      <c r="G277" s="313" t="s">
        <v>1</v>
      </c>
      <c r="H277" s="298">
        <v>20500</v>
      </c>
      <c r="I277" s="9"/>
      <c r="J277" s="11"/>
      <c r="K277" s="10">
        <f t="shared" si="4"/>
        <v>-645370</v>
      </c>
      <c r="N277" s="88"/>
    </row>
    <row r="278" spans="1:17" ht="15">
      <c r="A278" s="88"/>
      <c r="B278" s="316">
        <v>43876</v>
      </c>
      <c r="C278" s="15" t="s">
        <v>731</v>
      </c>
      <c r="D278" s="306" t="s">
        <v>598</v>
      </c>
      <c r="E278" s="300" t="s">
        <v>358</v>
      </c>
      <c r="F278" s="301">
        <v>868538043206051</v>
      </c>
      <c r="G278" s="313" t="s">
        <v>59</v>
      </c>
      <c r="H278" s="298">
        <v>20500</v>
      </c>
      <c r="I278" s="9"/>
      <c r="J278" s="11"/>
      <c r="K278" s="10">
        <f t="shared" si="4"/>
        <v>-665870</v>
      </c>
      <c r="N278" s="88"/>
    </row>
    <row r="279" spans="1:17" ht="15">
      <c r="A279" s="88"/>
      <c r="B279" s="316">
        <v>43876</v>
      </c>
      <c r="C279" s="15" t="s">
        <v>732</v>
      </c>
      <c r="D279" s="306" t="s">
        <v>598</v>
      </c>
      <c r="E279" s="300" t="s">
        <v>583</v>
      </c>
      <c r="F279" s="301">
        <v>868538045195575</v>
      </c>
      <c r="G279" s="313" t="s">
        <v>1</v>
      </c>
      <c r="H279" s="298">
        <v>19400</v>
      </c>
      <c r="I279" s="9"/>
      <c r="J279" s="11"/>
      <c r="K279" s="10">
        <f t="shared" si="4"/>
        <v>-685270</v>
      </c>
      <c r="N279" s="88"/>
    </row>
    <row r="280" spans="1:17" ht="15">
      <c r="A280" s="88"/>
      <c r="B280" s="317">
        <v>43878</v>
      </c>
      <c r="C280" s="15" t="s">
        <v>733</v>
      </c>
      <c r="D280" s="309" t="s">
        <v>643</v>
      </c>
      <c r="E280" s="300" t="s">
        <v>695</v>
      </c>
      <c r="F280" s="301">
        <v>353351113532964</v>
      </c>
      <c r="G280" s="314" t="s">
        <v>245</v>
      </c>
      <c r="H280" s="299">
        <v>14400</v>
      </c>
      <c r="I280" s="9"/>
      <c r="J280" s="11"/>
      <c r="K280" s="10">
        <f t="shared" si="4"/>
        <v>-699670</v>
      </c>
      <c r="N280" s="88"/>
    </row>
    <row r="281" spans="1:17" ht="15">
      <c r="A281" s="88"/>
      <c r="B281" s="316">
        <v>43878</v>
      </c>
      <c r="C281" s="15" t="s">
        <v>734</v>
      </c>
      <c r="D281" s="306" t="s">
        <v>598</v>
      </c>
      <c r="E281" s="300" t="s">
        <v>696</v>
      </c>
      <c r="F281" s="301">
        <v>864363042798055</v>
      </c>
      <c r="G281" s="313" t="s">
        <v>700</v>
      </c>
      <c r="H281" s="298">
        <v>27000</v>
      </c>
      <c r="I281" s="9"/>
      <c r="J281" s="11"/>
      <c r="K281" s="10">
        <f t="shared" si="4"/>
        <v>-726670</v>
      </c>
      <c r="N281" s="88"/>
    </row>
    <row r="282" spans="1:17" ht="15">
      <c r="A282" s="88"/>
      <c r="B282" s="316">
        <v>43883</v>
      </c>
      <c r="C282" s="15" t="s">
        <v>735</v>
      </c>
      <c r="D282" s="305" t="s">
        <v>618</v>
      </c>
      <c r="E282" s="300" t="s">
        <v>691</v>
      </c>
      <c r="F282" s="301">
        <v>865881045855969</v>
      </c>
      <c r="G282" s="313" t="s">
        <v>704</v>
      </c>
      <c r="H282" s="298">
        <v>20100</v>
      </c>
      <c r="I282" s="9"/>
      <c r="J282" s="11"/>
      <c r="K282" s="10">
        <f t="shared" si="4"/>
        <v>-746770</v>
      </c>
      <c r="N282" s="88"/>
      <c r="P282" s="327">
        <v>871740</v>
      </c>
      <c r="Q282" t="s">
        <v>715</v>
      </c>
    </row>
    <row r="283" spans="1:17" ht="15">
      <c r="A283" s="88"/>
      <c r="B283" s="316">
        <v>43885</v>
      </c>
      <c r="C283" s="15" t="s">
        <v>736</v>
      </c>
      <c r="D283" s="308" t="s">
        <v>618</v>
      </c>
      <c r="E283" s="300" t="s">
        <v>697</v>
      </c>
      <c r="F283" s="301">
        <v>867679041770168</v>
      </c>
      <c r="G283" s="313" t="s">
        <v>705</v>
      </c>
      <c r="H283" s="298">
        <v>39360</v>
      </c>
      <c r="I283" s="9"/>
      <c r="J283" s="11"/>
      <c r="K283" s="10">
        <f t="shared" si="4"/>
        <v>-786130</v>
      </c>
      <c r="N283" s="88"/>
      <c r="P283" s="327">
        <v>-410000</v>
      </c>
      <c r="Q283" t="s">
        <v>716</v>
      </c>
    </row>
    <row r="284" spans="1:17" ht="15">
      <c r="A284" s="88"/>
      <c r="B284" s="317">
        <v>43887</v>
      </c>
      <c r="C284" s="15" t="s">
        <v>737</v>
      </c>
      <c r="D284" s="309" t="s">
        <v>643</v>
      </c>
      <c r="E284" s="300" t="s">
        <v>695</v>
      </c>
      <c r="F284" s="301">
        <v>353351113544647</v>
      </c>
      <c r="G284" s="314" t="s">
        <v>245</v>
      </c>
      <c r="H284" s="299">
        <v>14400</v>
      </c>
      <c r="I284" s="9"/>
      <c r="J284" s="11"/>
      <c r="K284" s="10">
        <f t="shared" si="4"/>
        <v>-800530</v>
      </c>
      <c r="N284" s="88"/>
      <c r="P284" s="327">
        <f>SUM(P282:P283)</f>
        <v>461740</v>
      </c>
      <c r="Q284" t="s">
        <v>717</v>
      </c>
    </row>
    <row r="285" spans="1:17" ht="15">
      <c r="A285" s="88"/>
      <c r="B285" s="316">
        <v>43888</v>
      </c>
      <c r="C285" s="15" t="s">
        <v>738</v>
      </c>
      <c r="D285" s="307" t="s">
        <v>300</v>
      </c>
      <c r="E285" s="300" t="s">
        <v>698</v>
      </c>
      <c r="F285" s="301">
        <v>861266048626456</v>
      </c>
      <c r="G285" s="313" t="s">
        <v>706</v>
      </c>
      <c r="H285" s="298">
        <v>42100</v>
      </c>
      <c r="I285" s="9"/>
      <c r="J285" s="11"/>
      <c r="K285" s="10">
        <f t="shared" si="4"/>
        <v>-842630</v>
      </c>
      <c r="N285" s="88"/>
      <c r="P285" s="327">
        <v>416490</v>
      </c>
      <c r="Q285" t="s">
        <v>718</v>
      </c>
    </row>
    <row r="286" spans="1:17" ht="15">
      <c r="A286" s="88"/>
      <c r="B286" s="316">
        <v>43889</v>
      </c>
      <c r="C286" s="15" t="s">
        <v>739</v>
      </c>
      <c r="D286" s="307" t="s">
        <v>300</v>
      </c>
      <c r="E286" s="300" t="s">
        <v>699</v>
      </c>
      <c r="F286" s="301">
        <v>860779043526910</v>
      </c>
      <c r="G286" s="314" t="s">
        <v>55</v>
      </c>
      <c r="H286" s="299">
        <v>15500</v>
      </c>
      <c r="I286" s="9"/>
      <c r="J286" s="11"/>
      <c r="K286" s="10">
        <f t="shared" si="4"/>
        <v>-858130</v>
      </c>
      <c r="N286" s="88"/>
      <c r="P286" s="327">
        <f>SUM(P284:P285)</f>
        <v>878230</v>
      </c>
      <c r="Q286" t="s">
        <v>719</v>
      </c>
    </row>
    <row r="287" spans="1:17" ht="15">
      <c r="A287" s="88"/>
      <c r="B287" s="318">
        <v>43889</v>
      </c>
      <c r="C287" s="15" t="s">
        <v>740</v>
      </c>
      <c r="D287" s="310" t="s">
        <v>618</v>
      </c>
      <c r="E287" s="311" t="s">
        <v>691</v>
      </c>
      <c r="F287" s="312">
        <v>865881047249112</v>
      </c>
      <c r="G287" s="313" t="s">
        <v>707</v>
      </c>
      <c r="H287" s="298">
        <v>20100</v>
      </c>
      <c r="I287" s="9"/>
      <c r="J287" s="11"/>
      <c r="K287" s="10">
        <f t="shared" si="4"/>
        <v>-878230</v>
      </c>
      <c r="L287" s="142">
        <f>SUM(H272:H287)</f>
        <v>416490</v>
      </c>
      <c r="N287" s="88"/>
    </row>
    <row r="288" spans="1:17" ht="15">
      <c r="A288" s="88"/>
      <c r="B288" s="100">
        <v>43892</v>
      </c>
      <c r="C288" s="103" t="s">
        <v>68</v>
      </c>
      <c r="D288" s="256"/>
      <c r="E288" s="256"/>
      <c r="F288" s="115">
        <f>5000*12+1000*140</f>
        <v>200000</v>
      </c>
      <c r="G288" s="101"/>
      <c r="H288" s="269"/>
      <c r="I288" s="9">
        <v>200000</v>
      </c>
      <c r="J288" s="11"/>
      <c r="K288" s="10">
        <f t="shared" si="4"/>
        <v>-678230</v>
      </c>
      <c r="N288" s="88"/>
    </row>
    <row r="289" spans="1:18" ht="15">
      <c r="A289" s="88"/>
      <c r="B289" s="100">
        <v>43897</v>
      </c>
      <c r="C289" s="103" t="s">
        <v>68</v>
      </c>
      <c r="D289" s="256"/>
      <c r="E289" s="256"/>
      <c r="F289" s="115">
        <v>150000</v>
      </c>
      <c r="G289" s="101"/>
      <c r="H289" s="269"/>
      <c r="I289" s="9">
        <v>150000</v>
      </c>
      <c r="J289" s="11"/>
      <c r="K289" s="10">
        <f t="shared" ref="K289" si="5">K288-H289+I289</f>
        <v>-528230</v>
      </c>
      <c r="N289" s="88"/>
    </row>
    <row r="290" spans="1:18" ht="15">
      <c r="A290" s="88"/>
      <c r="B290" s="100">
        <v>43908</v>
      </c>
      <c r="C290" s="103" t="s">
        <v>68</v>
      </c>
      <c r="D290" s="256"/>
      <c r="E290" s="256"/>
      <c r="F290" s="115">
        <f>500*100</f>
        <v>50000</v>
      </c>
      <c r="G290" s="101"/>
      <c r="H290" s="269"/>
      <c r="I290" s="9">
        <v>50000</v>
      </c>
      <c r="J290" s="11"/>
      <c r="K290" s="10">
        <f t="shared" si="4"/>
        <v>-478230</v>
      </c>
      <c r="N290" s="88"/>
    </row>
    <row r="291" spans="1:18" ht="15">
      <c r="A291" s="88"/>
      <c r="B291" s="100">
        <v>43908</v>
      </c>
      <c r="C291" s="103" t="s">
        <v>68</v>
      </c>
      <c r="D291" s="256"/>
      <c r="E291" s="256"/>
      <c r="F291" s="115">
        <f>5000*49+1000*19+500*22</f>
        <v>275000</v>
      </c>
      <c r="G291" s="101"/>
      <c r="H291" s="269"/>
      <c r="I291" s="9">
        <v>275000</v>
      </c>
      <c r="J291" s="11"/>
      <c r="K291" s="10">
        <f t="shared" si="4"/>
        <v>-203230</v>
      </c>
      <c r="N291" s="88"/>
    </row>
    <row r="292" spans="1:18" ht="15">
      <c r="A292" s="88"/>
      <c r="B292" s="319">
        <v>43892</v>
      </c>
      <c r="C292" s="320">
        <v>1229</v>
      </c>
      <c r="D292" s="324" t="s">
        <v>618</v>
      </c>
      <c r="E292" s="303" t="s">
        <v>691</v>
      </c>
      <c r="F292" s="304">
        <v>868023041162085</v>
      </c>
      <c r="G292" s="313" t="s">
        <v>704</v>
      </c>
      <c r="H292" s="298">
        <v>20100</v>
      </c>
      <c r="I292" s="9"/>
      <c r="J292" s="11"/>
      <c r="K292" s="10">
        <f t="shared" si="4"/>
        <v>-223330</v>
      </c>
      <c r="N292" s="88"/>
    </row>
    <row r="293" spans="1:18" ht="15">
      <c r="A293" s="88"/>
      <c r="B293" s="319">
        <v>43893</v>
      </c>
      <c r="C293" s="321">
        <v>1230</v>
      </c>
      <c r="D293" s="305" t="s">
        <v>618</v>
      </c>
      <c r="E293" s="300" t="s">
        <v>691</v>
      </c>
      <c r="F293" s="301">
        <v>868023041161400</v>
      </c>
      <c r="G293" s="313" t="s">
        <v>704</v>
      </c>
      <c r="H293" s="298">
        <v>20100</v>
      </c>
      <c r="I293" s="9"/>
      <c r="J293" s="11"/>
      <c r="K293" s="10">
        <f t="shared" si="4"/>
        <v>-243430</v>
      </c>
      <c r="N293" s="88"/>
      <c r="P293" s="328">
        <v>878230</v>
      </c>
      <c r="Q293" s="329" t="s">
        <v>721</v>
      </c>
      <c r="R293" s="330" t="s">
        <v>723</v>
      </c>
    </row>
    <row r="294" spans="1:18" ht="15">
      <c r="A294" s="88"/>
      <c r="B294" s="319">
        <v>43893</v>
      </c>
      <c r="C294" s="321">
        <v>1231</v>
      </c>
      <c r="D294" s="305" t="s">
        <v>618</v>
      </c>
      <c r="E294" s="300" t="s">
        <v>708</v>
      </c>
      <c r="F294" s="301">
        <v>862974045151621</v>
      </c>
      <c r="G294" s="313" t="s">
        <v>398</v>
      </c>
      <c r="H294" s="298">
        <v>32700</v>
      </c>
      <c r="I294" s="9"/>
      <c r="J294" s="11"/>
      <c r="K294" s="10">
        <f t="shared" si="4"/>
        <v>-276130</v>
      </c>
      <c r="N294" s="88"/>
      <c r="P294" s="331">
        <v>-675000</v>
      </c>
      <c r="Q294" s="332" t="s">
        <v>720</v>
      </c>
      <c r="R294" s="333" t="s">
        <v>723</v>
      </c>
    </row>
    <row r="295" spans="1:18" ht="15">
      <c r="A295" s="88"/>
      <c r="B295" s="319">
        <v>43896</v>
      </c>
      <c r="C295" s="321">
        <v>1232</v>
      </c>
      <c r="D295" s="306" t="s">
        <v>598</v>
      </c>
      <c r="E295" s="300" t="s">
        <v>583</v>
      </c>
      <c r="F295" s="323" t="s">
        <v>709</v>
      </c>
      <c r="G295" s="326" t="s">
        <v>59</v>
      </c>
      <c r="H295" s="298">
        <v>19400</v>
      </c>
      <c r="I295" s="9"/>
      <c r="J295" s="11"/>
      <c r="K295" s="10">
        <f t="shared" si="4"/>
        <v>-295530</v>
      </c>
      <c r="N295" s="88"/>
      <c r="P295" s="331">
        <f>SUM(P293:P294)</f>
        <v>203230</v>
      </c>
      <c r="Q295" s="332" t="s">
        <v>717</v>
      </c>
      <c r="R295" s="333"/>
    </row>
    <row r="296" spans="1:18" ht="15">
      <c r="A296" s="88"/>
      <c r="B296" s="319">
        <v>43896</v>
      </c>
      <c r="C296" s="321">
        <v>1233</v>
      </c>
      <c r="D296" s="305" t="s">
        <v>300</v>
      </c>
      <c r="E296" s="300" t="s">
        <v>710</v>
      </c>
      <c r="F296" s="301">
        <v>863365047184893</v>
      </c>
      <c r="G296" s="313" t="s">
        <v>712</v>
      </c>
      <c r="H296" s="298">
        <v>21500</v>
      </c>
      <c r="I296" s="9"/>
      <c r="J296" s="11"/>
      <c r="K296" s="10">
        <f t="shared" si="4"/>
        <v>-317030</v>
      </c>
      <c r="N296" s="88"/>
      <c r="P296" s="331">
        <v>292540</v>
      </c>
      <c r="Q296" s="332" t="s">
        <v>722</v>
      </c>
      <c r="R296" s="333" t="s">
        <v>723</v>
      </c>
    </row>
    <row r="297" spans="1:18" ht="15">
      <c r="A297" s="88"/>
      <c r="B297" s="319">
        <v>43899</v>
      </c>
      <c r="C297" s="321">
        <v>1234</v>
      </c>
      <c r="D297" s="305" t="s">
        <v>300</v>
      </c>
      <c r="E297" s="300" t="s">
        <v>710</v>
      </c>
      <c r="F297" s="301">
        <v>863365047809671</v>
      </c>
      <c r="G297" s="313" t="s">
        <v>713</v>
      </c>
      <c r="H297" s="298">
        <v>21500</v>
      </c>
      <c r="I297" s="9"/>
      <c r="J297" s="11"/>
      <c r="K297" s="10">
        <f t="shared" si="4"/>
        <v>-338530</v>
      </c>
      <c r="N297" s="88"/>
      <c r="P297" s="334">
        <f>SUM(P295:P296)</f>
        <v>495770</v>
      </c>
      <c r="Q297" s="335" t="s">
        <v>724</v>
      </c>
      <c r="R297" s="336" t="s">
        <v>723</v>
      </c>
    </row>
    <row r="298" spans="1:18" ht="15">
      <c r="A298" s="88"/>
      <c r="B298" s="319">
        <v>43900</v>
      </c>
      <c r="C298" s="321">
        <v>1235</v>
      </c>
      <c r="D298" s="305" t="s">
        <v>607</v>
      </c>
      <c r="E298" s="300" t="s">
        <v>508</v>
      </c>
      <c r="F298" s="301">
        <v>354483114647589</v>
      </c>
      <c r="G298" s="313" t="s">
        <v>59</v>
      </c>
      <c r="H298" s="298">
        <v>19200</v>
      </c>
      <c r="I298" s="9"/>
      <c r="J298" s="11"/>
      <c r="K298" s="10">
        <f t="shared" si="4"/>
        <v>-357730</v>
      </c>
      <c r="N298" s="88"/>
    </row>
    <row r="299" spans="1:18" ht="15">
      <c r="A299" s="88"/>
      <c r="B299" s="319">
        <v>43903</v>
      </c>
      <c r="C299" s="321">
        <v>1236</v>
      </c>
      <c r="D299" s="305" t="s">
        <v>618</v>
      </c>
      <c r="E299" s="300" t="s">
        <v>691</v>
      </c>
      <c r="F299" s="301">
        <v>865881049492942</v>
      </c>
      <c r="G299" s="313" t="s">
        <v>704</v>
      </c>
      <c r="H299" s="298">
        <v>20100</v>
      </c>
      <c r="I299" s="9"/>
      <c r="J299" s="11"/>
      <c r="K299" s="10">
        <f t="shared" si="4"/>
        <v>-377830</v>
      </c>
      <c r="N299" s="88"/>
    </row>
    <row r="300" spans="1:18" ht="15">
      <c r="A300" s="88"/>
      <c r="B300" s="319">
        <v>43903</v>
      </c>
      <c r="C300" s="321">
        <v>1237</v>
      </c>
      <c r="D300" s="305" t="s">
        <v>618</v>
      </c>
      <c r="E300" s="300" t="s">
        <v>691</v>
      </c>
      <c r="F300" s="301">
        <v>865881049827436</v>
      </c>
      <c r="G300" s="313" t="s">
        <v>704</v>
      </c>
      <c r="H300" s="298">
        <v>20100</v>
      </c>
      <c r="I300" s="9"/>
      <c r="J300" s="11"/>
      <c r="K300" s="10">
        <f t="shared" si="4"/>
        <v>-397930</v>
      </c>
      <c r="L300" s="142"/>
      <c r="N300" s="88"/>
    </row>
    <row r="301" spans="1:18" ht="15">
      <c r="A301" s="88"/>
      <c r="B301" s="319">
        <v>43906</v>
      </c>
      <c r="C301" s="321">
        <v>1238</v>
      </c>
      <c r="D301" s="305" t="s">
        <v>599</v>
      </c>
      <c r="E301" s="300" t="s">
        <v>711</v>
      </c>
      <c r="F301" s="301">
        <v>353551110067969</v>
      </c>
      <c r="G301" s="313" t="s">
        <v>682</v>
      </c>
      <c r="H301" s="298">
        <v>19000</v>
      </c>
      <c r="I301" s="9"/>
      <c r="J301" s="11"/>
      <c r="K301" s="10">
        <f t="shared" si="4"/>
        <v>-416930</v>
      </c>
      <c r="N301" s="88"/>
    </row>
    <row r="302" spans="1:18" ht="15">
      <c r="A302" s="88"/>
      <c r="B302" s="319">
        <v>43908</v>
      </c>
      <c r="C302" s="321">
        <v>1239</v>
      </c>
      <c r="D302" s="305" t="s">
        <v>607</v>
      </c>
      <c r="E302" s="300" t="s">
        <v>678</v>
      </c>
      <c r="F302" s="301">
        <v>352353113312653</v>
      </c>
      <c r="G302" s="313" t="s">
        <v>714</v>
      </c>
      <c r="H302" s="298">
        <v>51840</v>
      </c>
      <c r="I302" s="9"/>
      <c r="J302" s="11"/>
      <c r="K302" s="10">
        <f t="shared" si="4"/>
        <v>-468770</v>
      </c>
      <c r="N302" s="88"/>
    </row>
    <row r="303" spans="1:18" ht="15">
      <c r="A303" s="88"/>
      <c r="B303" s="319">
        <v>43908</v>
      </c>
      <c r="C303" s="322">
        <v>1240</v>
      </c>
      <c r="D303" s="325" t="s">
        <v>598</v>
      </c>
      <c r="E303" s="311" t="s">
        <v>696</v>
      </c>
      <c r="F303" s="312">
        <v>864363042889979</v>
      </c>
      <c r="G303" s="313" t="s">
        <v>530</v>
      </c>
      <c r="H303" s="298">
        <v>27000</v>
      </c>
      <c r="I303" s="9"/>
      <c r="J303" s="11"/>
      <c r="K303" s="10">
        <f t="shared" si="4"/>
        <v>-495770</v>
      </c>
      <c r="N303" s="88"/>
    </row>
    <row r="304" spans="1:18" ht="15">
      <c r="A304" s="88"/>
      <c r="B304" s="337">
        <v>43909</v>
      </c>
      <c r="C304" s="15" t="s">
        <v>743</v>
      </c>
      <c r="D304" s="324" t="s">
        <v>607</v>
      </c>
      <c r="E304" s="32" t="s">
        <v>664</v>
      </c>
      <c r="F304" s="339">
        <v>353250115313649</v>
      </c>
      <c r="G304" s="313" t="s">
        <v>59</v>
      </c>
      <c r="H304" s="298">
        <v>27800</v>
      </c>
      <c r="I304" s="9"/>
      <c r="J304" s="11"/>
      <c r="K304" s="10">
        <f t="shared" si="4"/>
        <v>-523570</v>
      </c>
      <c r="N304" s="88"/>
    </row>
    <row r="305" spans="1:14" ht="15">
      <c r="A305" s="88"/>
      <c r="B305" s="337">
        <v>43909</v>
      </c>
      <c r="C305" s="15" t="s">
        <v>744</v>
      </c>
      <c r="D305" s="305" t="s">
        <v>300</v>
      </c>
      <c r="E305" s="32" t="s">
        <v>741</v>
      </c>
      <c r="F305" s="339">
        <v>862564045448356</v>
      </c>
      <c r="G305" s="313" t="s">
        <v>742</v>
      </c>
      <c r="H305" s="298">
        <v>25300</v>
      </c>
      <c r="I305" s="9"/>
      <c r="J305" s="11"/>
      <c r="K305" s="10">
        <f t="shared" si="4"/>
        <v>-548870</v>
      </c>
      <c r="N305" s="88"/>
    </row>
    <row r="306" spans="1:14" ht="15">
      <c r="A306" s="88"/>
      <c r="B306" s="337">
        <v>43909</v>
      </c>
      <c r="C306" s="15" t="s">
        <v>745</v>
      </c>
      <c r="D306" s="306" t="s">
        <v>598</v>
      </c>
      <c r="E306" s="32" t="s">
        <v>358</v>
      </c>
      <c r="F306" s="339">
        <v>868538047654553</v>
      </c>
      <c r="G306" s="313" t="s">
        <v>59</v>
      </c>
      <c r="H306" s="298">
        <v>20500</v>
      </c>
      <c r="I306" s="9"/>
      <c r="J306" s="11"/>
      <c r="K306" s="10">
        <f t="shared" si="4"/>
        <v>-569370</v>
      </c>
      <c r="L306" s="142">
        <f>SUM(H292:H306)</f>
        <v>366140</v>
      </c>
      <c r="N306" s="88"/>
    </row>
    <row r="307" spans="1:14" ht="15">
      <c r="A307" s="88"/>
      <c r="B307" s="337">
        <v>43939</v>
      </c>
      <c r="C307" s="320">
        <v>1245</v>
      </c>
      <c r="D307" s="305" t="s">
        <v>599</v>
      </c>
      <c r="E307" s="300" t="s">
        <v>746</v>
      </c>
      <c r="F307" s="301">
        <v>354188110071946</v>
      </c>
      <c r="G307" s="313" t="s">
        <v>751</v>
      </c>
      <c r="H307" s="298">
        <v>28800</v>
      </c>
      <c r="I307" s="9"/>
      <c r="J307" s="11"/>
      <c r="K307" s="10">
        <f t="shared" si="4"/>
        <v>-598170</v>
      </c>
      <c r="L307" s="142">
        <v>28800</v>
      </c>
      <c r="N307" s="88"/>
    </row>
    <row r="308" spans="1:14" ht="15">
      <c r="A308" s="88"/>
      <c r="B308" s="337">
        <v>43964</v>
      </c>
      <c r="C308" s="321">
        <v>1246</v>
      </c>
      <c r="D308" s="306" t="s">
        <v>598</v>
      </c>
      <c r="E308" s="300" t="s">
        <v>696</v>
      </c>
      <c r="F308" s="301">
        <v>864363042946431</v>
      </c>
      <c r="G308" s="313" t="s">
        <v>700</v>
      </c>
      <c r="H308" s="298">
        <v>27000</v>
      </c>
      <c r="I308" s="9"/>
      <c r="J308" s="11"/>
      <c r="K308" s="10">
        <f t="shared" si="4"/>
        <v>-625170</v>
      </c>
      <c r="N308" s="88"/>
    </row>
    <row r="309" spans="1:14" ht="15">
      <c r="A309" s="88"/>
      <c r="B309" s="337">
        <v>43970</v>
      </c>
      <c r="C309" s="321">
        <v>1247</v>
      </c>
      <c r="D309" s="306" t="s">
        <v>598</v>
      </c>
      <c r="E309" s="300" t="s">
        <v>358</v>
      </c>
      <c r="F309" s="301">
        <v>864163041491656</v>
      </c>
      <c r="G309" s="313" t="s">
        <v>59</v>
      </c>
      <c r="H309" s="298">
        <v>20500</v>
      </c>
      <c r="I309" s="9"/>
      <c r="J309" s="11"/>
      <c r="K309" s="10">
        <f t="shared" si="4"/>
        <v>-645670</v>
      </c>
      <c r="N309" s="88"/>
    </row>
    <row r="310" spans="1:14" ht="15">
      <c r="A310" s="88"/>
      <c r="B310" s="337">
        <v>43971</v>
      </c>
      <c r="C310" s="321">
        <v>1248</v>
      </c>
      <c r="D310" s="305" t="s">
        <v>300</v>
      </c>
      <c r="E310" s="300" t="s">
        <v>741</v>
      </c>
      <c r="F310" s="301">
        <v>862564045422195</v>
      </c>
      <c r="G310" s="313" t="s">
        <v>742</v>
      </c>
      <c r="H310" s="298">
        <v>25300</v>
      </c>
      <c r="I310" s="9"/>
      <c r="J310" s="11"/>
      <c r="K310" s="10">
        <f t="shared" si="4"/>
        <v>-670970</v>
      </c>
      <c r="N310" s="88"/>
    </row>
    <row r="311" spans="1:14" ht="15">
      <c r="A311" s="88"/>
      <c r="B311" s="337">
        <v>43971</v>
      </c>
      <c r="C311" s="321">
        <v>1249</v>
      </c>
      <c r="D311" s="305" t="s">
        <v>300</v>
      </c>
      <c r="E311" s="300" t="s">
        <v>710</v>
      </c>
      <c r="F311" s="301">
        <v>863365041794150</v>
      </c>
      <c r="G311" s="313" t="s">
        <v>713</v>
      </c>
      <c r="H311" s="298">
        <v>21500</v>
      </c>
      <c r="I311" s="9"/>
      <c r="J311" s="11"/>
      <c r="K311" s="10">
        <f t="shared" si="4"/>
        <v>-692470</v>
      </c>
      <c r="N311" s="88"/>
    </row>
    <row r="312" spans="1:14" ht="15">
      <c r="A312" s="88"/>
      <c r="B312" s="337">
        <v>43972</v>
      </c>
      <c r="C312" s="321">
        <v>1250</v>
      </c>
      <c r="D312" s="305" t="s">
        <v>607</v>
      </c>
      <c r="E312" s="300" t="s">
        <v>747</v>
      </c>
      <c r="F312" s="301">
        <v>351773110547780</v>
      </c>
      <c r="G312" s="313" t="s">
        <v>752</v>
      </c>
      <c r="H312" s="298">
        <v>37440</v>
      </c>
      <c r="I312" s="9"/>
      <c r="J312" s="11"/>
      <c r="K312" s="10">
        <f t="shared" si="4"/>
        <v>-729910</v>
      </c>
      <c r="N312" s="88"/>
    </row>
    <row r="313" spans="1:14" ht="15">
      <c r="A313" s="88"/>
      <c r="B313" s="337">
        <v>43973</v>
      </c>
      <c r="C313" s="321">
        <v>1251</v>
      </c>
      <c r="D313" s="305" t="s">
        <v>618</v>
      </c>
      <c r="E313" s="300" t="s">
        <v>748</v>
      </c>
      <c r="F313" s="301">
        <v>867895040804374</v>
      </c>
      <c r="G313" s="313" t="s">
        <v>406</v>
      </c>
      <c r="H313" s="298">
        <v>28100</v>
      </c>
      <c r="I313" s="9"/>
      <c r="J313" s="11"/>
      <c r="K313" s="10">
        <f t="shared" si="4"/>
        <v>-758010</v>
      </c>
      <c r="N313" s="88"/>
    </row>
    <row r="314" spans="1:14" ht="15">
      <c r="A314" s="88"/>
      <c r="B314" s="337">
        <v>43974</v>
      </c>
      <c r="C314" s="321">
        <v>1252</v>
      </c>
      <c r="D314" s="305" t="s">
        <v>749</v>
      </c>
      <c r="E314" s="300" t="s">
        <v>750</v>
      </c>
      <c r="F314" s="301">
        <v>354159110280464</v>
      </c>
      <c r="G314" s="313"/>
      <c r="H314" s="298">
        <v>24000</v>
      </c>
      <c r="I314" s="9"/>
      <c r="J314" s="11"/>
      <c r="K314" s="10">
        <f t="shared" si="4"/>
        <v>-782010</v>
      </c>
      <c r="N314" s="88"/>
    </row>
    <row r="315" spans="1:14" ht="15">
      <c r="A315" s="88"/>
      <c r="B315" s="338">
        <v>43974</v>
      </c>
      <c r="C315" s="322">
        <v>1253</v>
      </c>
      <c r="D315" s="340" t="s">
        <v>607</v>
      </c>
      <c r="E315" s="311" t="s">
        <v>508</v>
      </c>
      <c r="F315" s="312">
        <v>354721116316848</v>
      </c>
      <c r="G315" s="313" t="s">
        <v>1</v>
      </c>
      <c r="H315" s="298">
        <v>19880</v>
      </c>
      <c r="I315" s="9"/>
      <c r="J315" s="11"/>
      <c r="K315" s="10">
        <f t="shared" si="4"/>
        <v>-801890</v>
      </c>
      <c r="L315" s="142">
        <f>SUM(H308:H315)</f>
        <v>203720</v>
      </c>
      <c r="N315" s="88"/>
    </row>
    <row r="316" spans="1:14" ht="15">
      <c r="A316" s="88"/>
      <c r="B316" s="100">
        <v>43986</v>
      </c>
      <c r="C316" s="103" t="s">
        <v>68</v>
      </c>
      <c r="D316" s="256"/>
      <c r="E316" s="256"/>
      <c r="F316" s="115">
        <v>400000</v>
      </c>
      <c r="G316" s="101"/>
      <c r="H316" s="269"/>
      <c r="I316" s="9">
        <v>400000</v>
      </c>
      <c r="J316" s="11"/>
      <c r="K316" s="10">
        <f t="shared" si="4"/>
        <v>-401890</v>
      </c>
      <c r="N316" s="88"/>
    </row>
    <row r="317" spans="1:14" ht="15">
      <c r="A317" s="88"/>
      <c r="B317" s="16"/>
      <c r="C317" s="15"/>
      <c r="D317" s="14"/>
      <c r="E317" s="13"/>
      <c r="F317" s="282"/>
      <c r="G317" s="12"/>
      <c r="H317" s="268"/>
      <c r="I317" s="9"/>
      <c r="J317" s="11"/>
      <c r="K317" s="10">
        <f t="shared" si="4"/>
        <v>-401890</v>
      </c>
      <c r="N317" s="88"/>
    </row>
    <row r="318" spans="1:14" ht="15">
      <c r="A318" s="88"/>
      <c r="B318" s="16"/>
      <c r="C318" s="15"/>
      <c r="D318" s="14"/>
      <c r="E318" s="13"/>
      <c r="F318" s="282"/>
      <c r="G318" s="12"/>
      <c r="H318" s="268"/>
      <c r="I318" s="9"/>
      <c r="J318" s="11"/>
      <c r="K318" s="10">
        <f t="shared" si="4"/>
        <v>-401890</v>
      </c>
      <c r="N318" s="88"/>
    </row>
    <row r="319" spans="1:14" ht="15">
      <c r="A319" s="88"/>
      <c r="B319" s="16"/>
      <c r="C319" s="15"/>
      <c r="D319" s="14"/>
      <c r="E319" s="13"/>
      <c r="F319" s="282"/>
      <c r="G319" s="12"/>
      <c r="H319" s="268"/>
      <c r="I319" s="9"/>
      <c r="J319" s="11"/>
      <c r="K319" s="10">
        <f t="shared" si="4"/>
        <v>-401890</v>
      </c>
      <c r="N319" s="88"/>
    </row>
    <row r="320" spans="1:14" ht="15">
      <c r="A320" s="88"/>
      <c r="B320" s="16"/>
      <c r="C320" s="15"/>
      <c r="D320" s="14"/>
      <c r="E320" s="13"/>
      <c r="F320" s="282"/>
      <c r="G320" s="12"/>
      <c r="H320" s="268"/>
      <c r="I320" s="9"/>
      <c r="J320" s="11"/>
      <c r="K320" s="10">
        <f t="shared" si="4"/>
        <v>-401890</v>
      </c>
      <c r="N320" s="88"/>
    </row>
    <row r="321" spans="1:14" ht="15">
      <c r="A321" s="88"/>
      <c r="B321" s="16"/>
      <c r="C321" s="15"/>
      <c r="D321" s="14"/>
      <c r="E321" s="13"/>
      <c r="F321" s="282"/>
      <c r="G321" s="12"/>
      <c r="H321" s="268"/>
      <c r="I321" s="9"/>
      <c r="J321" s="11"/>
      <c r="K321" s="10">
        <f t="shared" si="4"/>
        <v>-401890</v>
      </c>
      <c r="N321" s="88"/>
    </row>
    <row r="322" spans="1:14" ht="15">
      <c r="A322" s="88"/>
      <c r="B322" s="16"/>
      <c r="C322" s="15"/>
      <c r="D322" s="14"/>
      <c r="E322" s="13"/>
      <c r="F322" s="282"/>
      <c r="G322" s="12"/>
      <c r="H322" s="268"/>
      <c r="I322" s="9"/>
      <c r="J322" s="11"/>
      <c r="K322" s="10"/>
      <c r="N322" s="88"/>
    </row>
    <row r="323" spans="1:14" ht="15">
      <c r="A323" s="88"/>
      <c r="B323" s="16"/>
      <c r="C323" s="15"/>
      <c r="D323" s="14"/>
      <c r="E323" s="13"/>
      <c r="F323" s="282"/>
      <c r="G323" s="12"/>
      <c r="H323" s="268"/>
      <c r="I323" s="9"/>
      <c r="J323" s="11"/>
      <c r="K323" s="10"/>
      <c r="N323" s="88"/>
    </row>
    <row r="324" spans="1:14" ht="15">
      <c r="A324" s="88"/>
      <c r="B324" s="16"/>
      <c r="C324" s="15"/>
      <c r="D324" s="14"/>
      <c r="E324" s="13"/>
      <c r="F324" s="282"/>
      <c r="G324" s="12"/>
      <c r="H324" s="268"/>
      <c r="I324" s="9"/>
      <c r="J324" s="11"/>
      <c r="K324" s="10"/>
      <c r="N324" s="88"/>
    </row>
    <row r="325" spans="1:14" ht="15">
      <c r="A325" s="88"/>
      <c r="B325" s="16"/>
      <c r="C325" s="15"/>
      <c r="D325" s="14"/>
      <c r="E325" s="13"/>
      <c r="F325" s="282"/>
      <c r="G325" s="12"/>
      <c r="H325" s="268"/>
      <c r="I325" s="9"/>
      <c r="J325" s="11"/>
      <c r="K325" s="10"/>
      <c r="N325" s="88"/>
    </row>
    <row r="326" spans="1:14" ht="15">
      <c r="A326" s="88"/>
      <c r="B326" s="16"/>
      <c r="C326" s="15"/>
      <c r="D326" s="14"/>
      <c r="E326" s="13"/>
      <c r="F326" s="282"/>
      <c r="G326" s="12"/>
      <c r="H326" s="268"/>
      <c r="I326" s="9"/>
      <c r="J326" s="11"/>
      <c r="K326" s="10"/>
      <c r="N326" s="88"/>
    </row>
    <row r="327" spans="1:14" ht="15">
      <c r="A327" s="88"/>
      <c r="B327" s="16"/>
      <c r="C327" s="15"/>
      <c r="D327" s="14"/>
      <c r="E327" s="13"/>
      <c r="F327" s="282"/>
      <c r="G327" s="12"/>
      <c r="H327" s="268"/>
      <c r="I327" s="9"/>
      <c r="J327" s="11"/>
      <c r="K327" s="10"/>
      <c r="N327" s="88"/>
    </row>
    <row r="328" spans="1:14" ht="15">
      <c r="A328" s="88"/>
      <c r="B328" s="16"/>
      <c r="C328" s="15"/>
      <c r="D328" s="14"/>
      <c r="E328" s="13"/>
      <c r="F328" s="282"/>
      <c r="G328" s="12"/>
      <c r="H328" s="268"/>
      <c r="I328" s="9"/>
      <c r="J328" s="11"/>
      <c r="K328" s="10"/>
      <c r="N328" s="88"/>
    </row>
    <row r="329" spans="1:14" ht="15">
      <c r="A329" s="88"/>
      <c r="B329" s="16"/>
      <c r="C329" s="15"/>
      <c r="D329" s="14"/>
      <c r="E329" s="13"/>
      <c r="F329" s="282"/>
      <c r="G329" s="12"/>
      <c r="H329" s="268"/>
      <c r="I329" s="9"/>
      <c r="J329" s="11"/>
      <c r="K329" s="10"/>
      <c r="N329" s="88"/>
    </row>
    <row r="330" spans="1:14" ht="15">
      <c r="A330" s="88"/>
      <c r="B330" s="16"/>
      <c r="C330" s="15"/>
      <c r="D330" s="14"/>
      <c r="E330" s="13"/>
      <c r="F330" s="282"/>
      <c r="G330" s="12"/>
      <c r="H330" s="268"/>
      <c r="I330" s="9"/>
      <c r="J330" s="11"/>
      <c r="K330" s="10"/>
      <c r="N330" s="88"/>
    </row>
    <row r="331" spans="1:14" ht="15">
      <c r="A331" s="88"/>
      <c r="B331" s="16"/>
      <c r="C331" s="15"/>
      <c r="D331" s="14"/>
      <c r="E331" s="13"/>
      <c r="F331" s="282"/>
      <c r="G331" s="12"/>
      <c r="H331" s="268"/>
      <c r="I331" s="9"/>
      <c r="J331" s="11"/>
      <c r="K331" s="10"/>
      <c r="N331" s="88"/>
    </row>
    <row r="332" spans="1:14" ht="15">
      <c r="A332" s="88"/>
      <c r="B332" s="16"/>
      <c r="C332" s="15"/>
      <c r="D332" s="14"/>
      <c r="E332" s="13"/>
      <c r="F332" s="282"/>
      <c r="G332" s="12"/>
      <c r="H332" s="268"/>
      <c r="I332" s="9"/>
      <c r="J332" s="11"/>
      <c r="K332" s="10"/>
      <c r="N332" s="88"/>
    </row>
    <row r="333" spans="1:14" ht="15">
      <c r="A333" s="88"/>
      <c r="B333" s="16"/>
      <c r="C333" s="15"/>
      <c r="D333" s="14"/>
      <c r="E333" s="13"/>
      <c r="F333" s="282"/>
      <c r="G333" s="12"/>
      <c r="H333" s="268"/>
      <c r="I333" s="9"/>
      <c r="J333" s="11"/>
      <c r="K333" s="10"/>
      <c r="N333" s="88"/>
    </row>
    <row r="334" spans="1:14" ht="15">
      <c r="A334" s="88"/>
      <c r="B334" s="16"/>
      <c r="C334" s="15"/>
      <c r="D334" s="14"/>
      <c r="E334" s="13"/>
      <c r="F334" s="282"/>
      <c r="G334" s="12"/>
      <c r="H334" s="268"/>
      <c r="I334" s="9"/>
      <c r="J334" s="11"/>
      <c r="K334" s="10"/>
      <c r="N334" s="88"/>
    </row>
    <row r="335" spans="1:14" ht="15">
      <c r="A335" s="88"/>
      <c r="B335" s="16"/>
      <c r="C335" s="15"/>
      <c r="D335" s="14"/>
      <c r="E335" s="13"/>
      <c r="F335" s="282"/>
      <c r="G335" s="12"/>
      <c r="H335" s="268"/>
      <c r="I335" s="9"/>
      <c r="J335" s="11"/>
      <c r="K335" s="10"/>
      <c r="N335" s="88"/>
    </row>
    <row r="336" spans="1:14" ht="15">
      <c r="A336" s="88"/>
      <c r="B336" s="16"/>
      <c r="C336" s="15"/>
      <c r="D336" s="14"/>
      <c r="E336" s="13"/>
      <c r="F336" s="282"/>
      <c r="G336" s="12"/>
      <c r="H336" s="268"/>
      <c r="I336" s="9"/>
      <c r="J336" s="11"/>
      <c r="K336" s="10"/>
      <c r="N336" s="88"/>
    </row>
    <row r="337" spans="1:14" ht="15">
      <c r="A337" s="88"/>
      <c r="B337" s="16"/>
      <c r="C337" s="15"/>
      <c r="D337" s="14"/>
      <c r="E337" s="13"/>
      <c r="F337" s="282"/>
      <c r="G337" s="12"/>
      <c r="H337" s="268"/>
      <c r="I337" s="9"/>
      <c r="J337" s="11"/>
      <c r="K337" s="10"/>
      <c r="N337" s="88"/>
    </row>
    <row r="338" spans="1:14" ht="15">
      <c r="A338" s="88"/>
      <c r="B338" s="16"/>
      <c r="C338" s="15"/>
      <c r="D338" s="14"/>
      <c r="E338" s="13"/>
      <c r="F338" s="282"/>
      <c r="G338" s="12"/>
      <c r="H338" s="268"/>
      <c r="I338" s="9"/>
      <c r="J338" s="11"/>
      <c r="K338" s="10"/>
      <c r="N338" s="88"/>
    </row>
    <row r="339" spans="1:14" ht="15">
      <c r="A339" s="88"/>
      <c r="B339" s="16"/>
      <c r="C339" s="15"/>
      <c r="D339" s="14"/>
      <c r="E339" s="13"/>
      <c r="F339" s="282"/>
      <c r="G339" s="12"/>
      <c r="H339" s="268"/>
      <c r="I339" s="9"/>
      <c r="J339" s="11"/>
      <c r="K339" s="10"/>
      <c r="N339" s="88"/>
    </row>
    <row r="340" spans="1:14" ht="15">
      <c r="A340" s="88"/>
      <c r="B340" s="16"/>
      <c r="C340" s="15"/>
      <c r="D340" s="14"/>
      <c r="E340" s="13"/>
      <c r="F340" s="282"/>
      <c r="G340" s="12"/>
      <c r="H340" s="268"/>
      <c r="I340" s="9"/>
      <c r="J340" s="11"/>
      <c r="K340" s="10"/>
      <c r="N340" s="88"/>
    </row>
    <row r="341" spans="1:14" ht="15">
      <c r="A341" s="88"/>
      <c r="B341" s="16"/>
      <c r="C341" s="15"/>
      <c r="D341" s="14"/>
      <c r="E341" s="13"/>
      <c r="F341" s="282"/>
      <c r="G341" s="12"/>
      <c r="H341" s="268"/>
      <c r="I341" s="9"/>
      <c r="J341" s="11"/>
      <c r="K341" s="10"/>
      <c r="N341" s="88"/>
    </row>
    <row r="342" spans="1:14" ht="15">
      <c r="A342" s="88"/>
      <c r="B342" s="16"/>
      <c r="C342" s="15"/>
      <c r="D342" s="14"/>
      <c r="E342" s="13"/>
      <c r="F342" s="282"/>
      <c r="G342" s="12"/>
      <c r="H342" s="268"/>
      <c r="I342" s="9"/>
      <c r="J342" s="11"/>
      <c r="K342" s="10"/>
      <c r="N342" s="88"/>
    </row>
    <row r="343" spans="1:14" ht="15">
      <c r="A343" s="88"/>
      <c r="B343" s="16"/>
      <c r="C343" s="15"/>
      <c r="D343" s="14"/>
      <c r="E343" s="13"/>
      <c r="F343" s="282"/>
      <c r="G343" s="12"/>
      <c r="H343" s="268"/>
      <c r="I343" s="9"/>
      <c r="J343" s="11"/>
      <c r="K343" s="10"/>
      <c r="N343" s="88"/>
    </row>
    <row r="344" spans="1:14" ht="15">
      <c r="A344" s="88"/>
      <c r="B344" s="16"/>
      <c r="C344" s="15"/>
      <c r="D344" s="14"/>
      <c r="E344" s="13"/>
      <c r="F344" s="282"/>
      <c r="G344" s="12"/>
      <c r="H344" s="268"/>
      <c r="I344" s="9"/>
      <c r="J344" s="11"/>
      <c r="K344" s="10"/>
      <c r="N344" s="88"/>
    </row>
    <row r="345" spans="1:14" ht="15">
      <c r="A345" s="88"/>
      <c r="B345" s="16"/>
      <c r="C345" s="15"/>
      <c r="D345" s="14"/>
      <c r="E345" s="13"/>
      <c r="F345" s="282"/>
      <c r="G345" s="12"/>
      <c r="H345" s="268"/>
      <c r="I345" s="9"/>
      <c r="J345" s="11"/>
      <c r="K345" s="10"/>
      <c r="N345" s="88"/>
    </row>
    <row r="346" spans="1:14" ht="15">
      <c r="A346" s="88"/>
      <c r="B346" s="16"/>
      <c r="C346" s="15"/>
      <c r="D346" s="14"/>
      <c r="E346" s="13"/>
      <c r="F346" s="282"/>
      <c r="G346" s="12"/>
      <c r="H346" s="268"/>
      <c r="I346" s="9"/>
      <c r="J346" s="11"/>
      <c r="K346" s="10"/>
      <c r="N346" s="88"/>
    </row>
    <row r="347" spans="1:14" ht="15">
      <c r="A347" s="88"/>
      <c r="B347" s="16"/>
      <c r="C347" s="15"/>
      <c r="D347" s="14"/>
      <c r="E347" s="13"/>
      <c r="F347" s="282"/>
      <c r="G347" s="12"/>
      <c r="H347" s="268"/>
      <c r="I347" s="9"/>
      <c r="J347" s="11"/>
      <c r="K347" s="10"/>
      <c r="N347" s="88"/>
    </row>
    <row r="348" spans="1:14" ht="15">
      <c r="A348" s="88"/>
      <c r="B348" s="16"/>
      <c r="C348" s="15"/>
      <c r="D348" s="14"/>
      <c r="E348" s="13"/>
      <c r="F348" s="282"/>
      <c r="G348" s="12"/>
      <c r="H348" s="268"/>
      <c r="I348" s="9"/>
      <c r="J348" s="11"/>
      <c r="K348" s="10"/>
      <c r="N348" s="88"/>
    </row>
    <row r="349" spans="1:14" ht="15">
      <c r="A349" s="88"/>
      <c r="B349" s="16"/>
      <c r="C349" s="15"/>
      <c r="D349" s="14"/>
      <c r="E349" s="13"/>
      <c r="F349" s="282"/>
      <c r="G349" s="12"/>
      <c r="H349" s="268"/>
      <c r="I349" s="9"/>
      <c r="J349" s="11"/>
      <c r="K349" s="10"/>
      <c r="N349" s="88"/>
    </row>
    <row r="350" spans="1:14" ht="15">
      <c r="A350" s="88"/>
      <c r="B350" s="16"/>
      <c r="C350" s="15"/>
      <c r="D350" s="14"/>
      <c r="E350" s="13"/>
      <c r="F350" s="282"/>
      <c r="G350" s="12"/>
      <c r="H350" s="268"/>
      <c r="I350" s="9"/>
      <c r="J350" s="11"/>
      <c r="K350" s="10"/>
      <c r="N350" s="88"/>
    </row>
    <row r="351" spans="1:14" ht="15">
      <c r="A351" s="88"/>
      <c r="B351" s="16"/>
      <c r="C351" s="15"/>
      <c r="D351" s="14"/>
      <c r="E351" s="13"/>
      <c r="F351" s="282"/>
      <c r="G351" s="12"/>
      <c r="H351" s="268"/>
      <c r="I351" s="9"/>
      <c r="J351" s="11"/>
      <c r="K351" s="10"/>
      <c r="N351" s="88"/>
    </row>
    <row r="352" spans="1:14" ht="15">
      <c r="A352" s="88"/>
      <c r="B352" s="16"/>
      <c r="C352" s="15"/>
      <c r="D352" s="14"/>
      <c r="E352" s="13"/>
      <c r="F352" s="282"/>
      <c r="G352" s="12"/>
      <c r="H352" s="268"/>
      <c r="I352" s="9"/>
      <c r="J352" s="11"/>
      <c r="K352" s="10"/>
      <c r="N352" s="88"/>
    </row>
    <row r="353" spans="1:14" ht="15">
      <c r="A353" s="88"/>
      <c r="B353" s="16"/>
      <c r="C353" s="15"/>
      <c r="D353" s="14"/>
      <c r="E353" s="13"/>
      <c r="F353" s="282"/>
      <c r="G353" s="12"/>
      <c r="H353" s="268"/>
      <c r="I353" s="9"/>
      <c r="J353" s="11"/>
      <c r="K353" s="10"/>
      <c r="N353" s="88"/>
    </row>
    <row r="354" spans="1:14" ht="15">
      <c r="A354" s="88"/>
      <c r="B354" s="16"/>
      <c r="C354" s="15"/>
      <c r="D354" s="14"/>
      <c r="E354" s="13"/>
      <c r="F354" s="282"/>
      <c r="G354" s="12"/>
      <c r="H354" s="268"/>
      <c r="I354" s="9"/>
      <c r="J354" s="11"/>
      <c r="K354" s="10"/>
      <c r="N354" s="88"/>
    </row>
    <row r="355" spans="1:14" ht="15">
      <c r="A355" s="88"/>
      <c r="B355" s="16"/>
      <c r="C355" s="15"/>
      <c r="D355" s="14"/>
      <c r="E355" s="13"/>
      <c r="F355" s="282"/>
      <c r="G355" s="12"/>
      <c r="H355" s="268"/>
      <c r="I355" s="9"/>
      <c r="J355" s="11"/>
      <c r="K355" s="10"/>
      <c r="N355" s="88"/>
    </row>
    <row r="356" spans="1:14" ht="15">
      <c r="A356" s="88"/>
      <c r="B356" s="16"/>
      <c r="C356" s="15"/>
      <c r="D356" s="14"/>
      <c r="E356" s="13"/>
      <c r="F356" s="282"/>
      <c r="G356" s="12"/>
      <c r="H356" s="268"/>
      <c r="I356" s="9"/>
      <c r="J356" s="11"/>
      <c r="K356" s="10"/>
      <c r="N356" s="88"/>
    </row>
    <row r="357" spans="1:14" ht="15">
      <c r="A357" s="88"/>
      <c r="B357" s="16"/>
      <c r="C357" s="15"/>
      <c r="D357" s="14"/>
      <c r="E357" s="13"/>
      <c r="F357" s="282"/>
      <c r="G357" s="12"/>
      <c r="H357" s="268"/>
      <c r="I357" s="9"/>
      <c r="J357" s="11"/>
      <c r="K357" s="10"/>
      <c r="N357" s="88"/>
    </row>
    <row r="358" spans="1:14" ht="15">
      <c r="A358" s="88"/>
      <c r="B358" s="16"/>
      <c r="C358" s="15"/>
      <c r="D358" s="14"/>
      <c r="E358" s="13"/>
      <c r="F358" s="282"/>
      <c r="G358" s="12"/>
      <c r="H358" s="268"/>
      <c r="I358" s="9"/>
      <c r="J358" s="11"/>
      <c r="K358" s="10"/>
      <c r="N358" s="88"/>
    </row>
    <row r="359" spans="1:14" ht="15">
      <c r="A359" s="88"/>
      <c r="B359" s="16"/>
      <c r="C359" s="15"/>
      <c r="D359" s="14"/>
      <c r="E359" s="13"/>
      <c r="F359" s="282"/>
      <c r="G359" s="12"/>
      <c r="H359" s="268"/>
      <c r="I359" s="9"/>
      <c r="J359" s="11"/>
      <c r="K359" s="10"/>
      <c r="N359" s="88"/>
    </row>
    <row r="360" spans="1:14" ht="15">
      <c r="A360" s="88"/>
      <c r="B360" s="16"/>
      <c r="C360" s="15"/>
      <c r="D360" s="14"/>
      <c r="E360" s="13"/>
      <c r="F360" s="282"/>
      <c r="G360" s="12"/>
      <c r="H360" s="268"/>
      <c r="I360" s="9"/>
      <c r="J360" s="11"/>
      <c r="K360" s="10"/>
      <c r="N360" s="88"/>
    </row>
    <row r="361" spans="1:14" ht="15">
      <c r="A361" s="88"/>
      <c r="B361" s="16"/>
      <c r="C361" s="15"/>
      <c r="D361" s="14"/>
      <c r="E361" s="13"/>
      <c r="F361" s="282"/>
      <c r="G361" s="12"/>
      <c r="H361" s="268"/>
      <c r="I361" s="9"/>
      <c r="J361" s="11"/>
      <c r="K361" s="10"/>
      <c r="N361" s="88"/>
    </row>
    <row r="362" spans="1:14" ht="15">
      <c r="A362" s="88"/>
      <c r="B362" s="16"/>
      <c r="C362" s="15"/>
      <c r="D362" s="14"/>
      <c r="E362" s="13"/>
      <c r="F362" s="282"/>
      <c r="G362" s="12"/>
      <c r="H362" s="268"/>
      <c r="I362" s="9"/>
      <c r="J362" s="11"/>
      <c r="K362" s="10"/>
      <c r="N362" s="88"/>
    </row>
    <row r="363" spans="1:14" ht="15">
      <c r="A363" s="88"/>
      <c r="B363" s="16"/>
      <c r="C363" s="15"/>
      <c r="D363" s="14"/>
      <c r="E363" s="13"/>
      <c r="F363" s="282"/>
      <c r="G363" s="12"/>
      <c r="H363" s="268"/>
      <c r="I363" s="9"/>
      <c r="J363" s="11"/>
      <c r="K363" s="10"/>
      <c r="N363" s="88"/>
    </row>
    <row r="364" spans="1:14" ht="15">
      <c r="A364" s="88"/>
      <c r="B364" s="16"/>
      <c r="C364" s="15"/>
      <c r="D364" s="14"/>
      <c r="E364" s="13"/>
      <c r="F364" s="282"/>
      <c r="G364" s="12"/>
      <c r="H364" s="268"/>
      <c r="I364" s="9"/>
      <c r="J364" s="11"/>
      <c r="K364" s="10"/>
      <c r="N364" s="88"/>
    </row>
    <row r="365" spans="1:14" ht="15">
      <c r="A365" s="88"/>
      <c r="B365" s="16"/>
      <c r="C365" s="15"/>
      <c r="D365" s="14"/>
      <c r="E365" s="13"/>
      <c r="F365" s="282"/>
      <c r="G365" s="12"/>
      <c r="H365" s="268"/>
      <c r="I365" s="9"/>
      <c r="J365" s="11"/>
      <c r="K365" s="10"/>
      <c r="N365" s="88"/>
    </row>
    <row r="366" spans="1:14" ht="15">
      <c r="A366" s="88"/>
      <c r="B366" s="16"/>
      <c r="C366" s="15"/>
      <c r="D366" s="14"/>
      <c r="E366" s="13"/>
      <c r="F366" s="282"/>
      <c r="G366" s="12"/>
      <c r="H366" s="268"/>
      <c r="I366" s="9"/>
      <c r="J366" s="11"/>
      <c r="K366" s="10"/>
      <c r="N366" s="88"/>
    </row>
    <row r="367" spans="1:14" ht="15">
      <c r="A367" s="88"/>
      <c r="B367" s="16"/>
      <c r="C367" s="15"/>
      <c r="D367" s="14"/>
      <c r="E367" s="13"/>
      <c r="F367" s="282"/>
      <c r="G367" s="12"/>
      <c r="H367" s="268"/>
      <c r="I367" s="9"/>
      <c r="J367" s="11"/>
      <c r="K367" s="10"/>
      <c r="N367" s="88"/>
    </row>
    <row r="368" spans="1:14" ht="15">
      <c r="A368" s="88"/>
      <c r="B368" s="16"/>
      <c r="C368" s="15"/>
      <c r="D368" s="14"/>
      <c r="E368" s="13"/>
      <c r="F368" s="282"/>
      <c r="G368" s="12"/>
      <c r="H368" s="268"/>
      <c r="I368" s="9"/>
      <c r="J368" s="11"/>
      <c r="K368" s="10"/>
      <c r="N368" s="88"/>
    </row>
    <row r="369" spans="1:14" ht="15">
      <c r="A369" s="88"/>
      <c r="B369" s="16"/>
      <c r="C369" s="15"/>
      <c r="D369" s="14"/>
      <c r="E369" s="13"/>
      <c r="F369" s="282"/>
      <c r="G369" s="12"/>
      <c r="H369" s="268"/>
      <c r="I369" s="9"/>
      <c r="J369" s="11"/>
      <c r="K369" s="10"/>
      <c r="N369" s="88"/>
    </row>
    <row r="370" spans="1:14" ht="15">
      <c r="A370" s="88"/>
      <c r="B370" s="16"/>
      <c r="C370" s="15"/>
      <c r="D370" s="14"/>
      <c r="E370" s="13"/>
      <c r="F370" s="282"/>
      <c r="G370" s="12"/>
      <c r="H370" s="268"/>
      <c r="I370" s="9"/>
      <c r="J370" s="11"/>
      <c r="K370" s="10"/>
      <c r="N370" s="88"/>
    </row>
    <row r="371" spans="1:14" ht="15">
      <c r="A371" s="88"/>
      <c r="B371" s="16"/>
      <c r="C371" s="15"/>
      <c r="D371" s="14"/>
      <c r="E371" s="13"/>
      <c r="F371" s="282"/>
      <c r="G371" s="12"/>
      <c r="H371" s="268"/>
      <c r="I371" s="9"/>
      <c r="J371" s="11"/>
      <c r="K371" s="10"/>
      <c r="N371" s="88"/>
    </row>
    <row r="372" spans="1:14" ht="15">
      <c r="A372" s="88"/>
      <c r="B372" s="16"/>
      <c r="C372" s="15"/>
      <c r="D372" s="14"/>
      <c r="E372" s="13"/>
      <c r="F372" s="282"/>
      <c r="G372" s="12"/>
      <c r="H372" s="268"/>
      <c r="I372" s="9"/>
      <c r="J372" s="11"/>
      <c r="K372" s="10"/>
      <c r="N372" s="88"/>
    </row>
    <row r="373" spans="1:14" ht="15">
      <c r="A373" s="88"/>
      <c r="B373" s="16"/>
      <c r="C373" s="15"/>
      <c r="D373" s="14"/>
      <c r="E373" s="13"/>
      <c r="F373" s="282"/>
      <c r="G373" s="12"/>
      <c r="H373" s="268"/>
      <c r="I373" s="9"/>
      <c r="J373" s="11"/>
      <c r="K373" s="10"/>
      <c r="N373" s="88"/>
    </row>
    <row r="374" spans="1:14" ht="15">
      <c r="A374" s="88"/>
      <c r="B374" s="16"/>
      <c r="C374" s="15"/>
      <c r="D374" s="14"/>
      <c r="E374" s="13"/>
      <c r="F374" s="282"/>
      <c r="G374" s="12"/>
      <c r="H374" s="268"/>
      <c r="I374" s="9"/>
      <c r="J374" s="11"/>
      <c r="K374" s="10"/>
      <c r="N374" s="88"/>
    </row>
    <row r="375" spans="1:14" ht="15">
      <c r="A375" s="88"/>
      <c r="B375" s="16"/>
      <c r="C375" s="15"/>
      <c r="D375" s="14"/>
      <c r="E375" s="13"/>
      <c r="F375" s="282"/>
      <c r="G375" s="12"/>
      <c r="H375" s="268"/>
      <c r="I375" s="9"/>
      <c r="J375" s="11"/>
      <c r="K375" s="10"/>
      <c r="N375" s="88"/>
    </row>
    <row r="376" spans="1:14" ht="15">
      <c r="A376" s="88"/>
      <c r="B376" s="16"/>
      <c r="C376" s="15"/>
      <c r="D376" s="14"/>
      <c r="E376" s="13"/>
      <c r="F376" s="282"/>
      <c r="G376" s="12"/>
      <c r="H376" s="268"/>
      <c r="I376" s="9"/>
      <c r="J376" s="11"/>
      <c r="K376" s="10"/>
      <c r="N376" s="88"/>
    </row>
    <row r="377" spans="1:14" ht="15">
      <c r="A377" s="88"/>
      <c r="B377" s="16"/>
      <c r="C377" s="15"/>
      <c r="D377" s="14"/>
      <c r="E377" s="13"/>
      <c r="F377" s="282"/>
      <c r="G377" s="12"/>
      <c r="H377" s="268"/>
      <c r="I377" s="9"/>
      <c r="J377" s="11"/>
      <c r="K377" s="10"/>
      <c r="N377" s="88"/>
    </row>
    <row r="378" spans="1:14" ht="15">
      <c r="A378" s="88"/>
      <c r="B378" s="16"/>
      <c r="C378" s="15"/>
      <c r="D378" s="14"/>
      <c r="E378" s="13"/>
      <c r="F378" s="282"/>
      <c r="G378" s="12"/>
      <c r="H378" s="268"/>
      <c r="I378" s="9"/>
      <c r="J378" s="11"/>
      <c r="K378" s="10"/>
      <c r="N378" s="88"/>
    </row>
    <row r="379" spans="1:14" ht="15">
      <c r="A379" s="88"/>
      <c r="B379" s="16"/>
      <c r="C379" s="15"/>
      <c r="D379" s="14"/>
      <c r="E379" s="13"/>
      <c r="F379" s="282"/>
      <c r="G379" s="12"/>
      <c r="H379" s="268"/>
      <c r="I379" s="9"/>
      <c r="J379" s="11"/>
      <c r="K379" s="10"/>
      <c r="N379" s="88"/>
    </row>
    <row r="380" spans="1:14" ht="15">
      <c r="A380" s="88"/>
      <c r="B380" s="16"/>
      <c r="C380" s="15"/>
      <c r="D380" s="14"/>
      <c r="E380" s="13"/>
      <c r="F380" s="282"/>
      <c r="G380" s="12"/>
      <c r="H380" s="268"/>
      <c r="I380" s="9"/>
      <c r="J380" s="11"/>
      <c r="K380" s="10"/>
      <c r="N380" s="88"/>
    </row>
    <row r="381" spans="1:14" ht="15">
      <c r="A381" s="88"/>
      <c r="B381" s="16"/>
      <c r="C381" s="15"/>
      <c r="D381" s="14"/>
      <c r="E381" s="13"/>
      <c r="F381" s="282"/>
      <c r="G381" s="12"/>
      <c r="H381" s="268"/>
      <c r="I381" s="9"/>
      <c r="J381" s="11"/>
      <c r="K381" s="10"/>
      <c r="N381" s="88"/>
    </row>
    <row r="382" spans="1:14" ht="15">
      <c r="A382" s="88"/>
      <c r="B382" s="16"/>
      <c r="C382" s="15"/>
      <c r="D382" s="14"/>
      <c r="E382" s="13"/>
      <c r="F382" s="282"/>
      <c r="G382" s="12"/>
      <c r="H382" s="268"/>
      <c r="I382" s="9"/>
      <c r="J382" s="11"/>
      <c r="K382" s="10"/>
      <c r="N382" s="88"/>
    </row>
    <row r="383" spans="1:14" ht="15">
      <c r="A383" s="88"/>
      <c r="B383" s="16"/>
      <c r="C383" s="15"/>
      <c r="D383" s="14"/>
      <c r="E383" s="13"/>
      <c r="F383" s="282"/>
      <c r="G383" s="12"/>
      <c r="H383" s="268"/>
      <c r="I383" s="9"/>
      <c r="J383" s="11"/>
      <c r="K383" s="10"/>
      <c r="N383" s="88"/>
    </row>
    <row r="384" spans="1:14" ht="15">
      <c r="A384" s="88"/>
      <c r="B384" s="16"/>
      <c r="C384" s="15"/>
      <c r="D384" s="14"/>
      <c r="E384" s="13"/>
      <c r="F384" s="282"/>
      <c r="G384" s="12"/>
      <c r="H384" s="268"/>
      <c r="I384" s="9"/>
      <c r="J384" s="11"/>
      <c r="K384" s="10"/>
      <c r="N384" s="88"/>
    </row>
    <row r="385" spans="1:14" ht="15">
      <c r="A385" s="88"/>
      <c r="B385" s="16"/>
      <c r="C385" s="15"/>
      <c r="D385" s="14"/>
      <c r="E385" s="13"/>
      <c r="F385" s="282"/>
      <c r="G385" s="12"/>
      <c r="H385" s="268"/>
      <c r="I385" s="9"/>
      <c r="J385" s="11"/>
      <c r="K385" s="10"/>
      <c r="N385" s="88"/>
    </row>
    <row r="386" spans="1:14" ht="15">
      <c r="A386" s="88"/>
      <c r="B386" s="16"/>
      <c r="C386" s="15"/>
      <c r="D386" s="14"/>
      <c r="E386" s="13"/>
      <c r="F386" s="282"/>
      <c r="G386" s="12"/>
      <c r="H386" s="268"/>
      <c r="I386" s="9"/>
      <c r="J386" s="11"/>
      <c r="K386" s="10"/>
      <c r="N386" s="88"/>
    </row>
    <row r="387" spans="1:14" ht="15">
      <c r="A387" s="88"/>
      <c r="B387" s="16"/>
      <c r="C387" s="15"/>
      <c r="D387" s="14"/>
      <c r="E387" s="13"/>
      <c r="F387" s="282"/>
      <c r="G387" s="12"/>
      <c r="H387" s="268"/>
      <c r="I387" s="9"/>
      <c r="J387" s="11"/>
      <c r="K387" s="10"/>
      <c r="N387" s="88"/>
    </row>
    <row r="388" spans="1:14" ht="15">
      <c r="A388" s="88"/>
      <c r="B388" s="16"/>
      <c r="C388" s="15"/>
      <c r="D388" s="14"/>
      <c r="E388" s="13"/>
      <c r="F388" s="282"/>
      <c r="G388" s="12"/>
      <c r="H388" s="268"/>
      <c r="I388" s="9"/>
      <c r="J388" s="11"/>
      <c r="K388" s="10"/>
      <c r="N388" s="88"/>
    </row>
    <row r="389" spans="1:14" ht="15">
      <c r="A389" s="88"/>
      <c r="B389" s="16"/>
      <c r="C389" s="15"/>
      <c r="D389" s="14"/>
      <c r="E389" s="13"/>
      <c r="F389" s="282"/>
      <c r="G389" s="12"/>
      <c r="H389" s="268"/>
      <c r="I389" s="9"/>
      <c r="J389" s="11"/>
      <c r="K389" s="10"/>
      <c r="N389" s="88"/>
    </row>
    <row r="390" spans="1:14" ht="15">
      <c r="A390" s="88"/>
      <c r="B390" s="16"/>
      <c r="C390" s="15"/>
      <c r="D390" s="14"/>
      <c r="E390" s="13"/>
      <c r="F390" s="282"/>
      <c r="G390" s="12"/>
      <c r="H390" s="268"/>
      <c r="I390" s="9"/>
      <c r="J390" s="11"/>
      <c r="K390" s="10"/>
      <c r="N390" s="88"/>
    </row>
    <row r="391" spans="1:14" ht="15">
      <c r="A391" s="88"/>
      <c r="B391" s="16"/>
      <c r="C391" s="15"/>
      <c r="D391" s="14"/>
      <c r="E391" s="13"/>
      <c r="F391" s="282"/>
      <c r="G391" s="12"/>
      <c r="H391" s="268"/>
      <c r="I391" s="9"/>
      <c r="J391" s="11"/>
      <c r="K391" s="10"/>
      <c r="N391" s="88"/>
    </row>
    <row r="392" spans="1:14" ht="15">
      <c r="A392" s="88"/>
      <c r="B392" s="16"/>
      <c r="C392" s="15"/>
      <c r="D392" s="14"/>
      <c r="E392" s="13"/>
      <c r="F392" s="282"/>
      <c r="G392" s="12"/>
      <c r="H392" s="268"/>
      <c r="I392" s="9"/>
      <c r="J392" s="11"/>
      <c r="K392" s="10"/>
      <c r="N392" s="88"/>
    </row>
    <row r="393" spans="1:14" ht="15">
      <c r="A393" s="88"/>
      <c r="B393" s="16"/>
      <c r="C393" s="15"/>
      <c r="D393" s="14"/>
      <c r="E393" s="13"/>
      <c r="F393" s="282"/>
      <c r="G393" s="12"/>
      <c r="H393" s="268"/>
      <c r="I393" s="9"/>
      <c r="J393" s="11"/>
      <c r="K393" s="10"/>
      <c r="N393" s="88"/>
    </row>
    <row r="394" spans="1:14" ht="15">
      <c r="A394" s="88"/>
      <c r="B394" s="16"/>
      <c r="C394" s="15"/>
      <c r="D394" s="14"/>
      <c r="E394" s="13"/>
      <c r="F394" s="282"/>
      <c r="G394" s="12"/>
      <c r="H394" s="268"/>
      <c r="I394" s="9"/>
      <c r="J394" s="11"/>
      <c r="K394" s="10"/>
      <c r="N394" s="88"/>
    </row>
    <row r="395" spans="1:14" ht="15">
      <c r="A395" s="88"/>
      <c r="B395" s="16"/>
      <c r="C395" s="15"/>
      <c r="D395" s="14"/>
      <c r="E395" s="13"/>
      <c r="F395" s="282"/>
      <c r="G395" s="12"/>
      <c r="H395" s="268"/>
      <c r="I395" s="9"/>
      <c r="J395" s="11"/>
      <c r="K395" s="10"/>
      <c r="N395" s="88"/>
    </row>
    <row r="396" spans="1:14" ht="15">
      <c r="A396" s="88"/>
      <c r="B396" s="16"/>
      <c r="C396" s="15"/>
      <c r="D396" s="14"/>
      <c r="E396" s="13"/>
      <c r="F396" s="282"/>
      <c r="G396" s="12"/>
      <c r="H396" s="268"/>
      <c r="I396" s="9"/>
      <c r="J396" s="11"/>
      <c r="K396" s="10"/>
      <c r="N396" s="88"/>
    </row>
    <row r="397" spans="1:14" ht="15">
      <c r="A397" s="88"/>
      <c r="B397" s="16"/>
      <c r="C397" s="15"/>
      <c r="D397" s="14"/>
      <c r="E397" s="13"/>
      <c r="F397" s="282"/>
      <c r="G397" s="12"/>
      <c r="H397" s="268"/>
      <c r="I397" s="9"/>
      <c r="J397" s="11"/>
      <c r="K397" s="10"/>
      <c r="N397" s="88"/>
    </row>
    <row r="398" spans="1:14" ht="15">
      <c r="A398" s="88"/>
      <c r="B398" s="16"/>
      <c r="C398" s="15"/>
      <c r="D398" s="14"/>
      <c r="E398" s="13"/>
      <c r="F398" s="282"/>
      <c r="G398" s="12"/>
      <c r="H398" s="268"/>
      <c r="I398" s="9"/>
      <c r="J398" s="11"/>
      <c r="K398" s="10"/>
      <c r="N398" s="88"/>
    </row>
    <row r="399" spans="1:14" ht="15">
      <c r="A399" s="88"/>
      <c r="B399" s="16"/>
      <c r="C399" s="15"/>
      <c r="D399" s="14"/>
      <c r="E399" s="13"/>
      <c r="F399" s="282"/>
      <c r="G399" s="12"/>
      <c r="H399" s="268"/>
      <c r="I399" s="9"/>
      <c r="J399" s="11"/>
      <c r="K399" s="10"/>
      <c r="N399" s="88"/>
    </row>
    <row r="400" spans="1:14" ht="15">
      <c r="A400" s="88"/>
      <c r="B400" s="16"/>
      <c r="C400" s="15"/>
      <c r="D400" s="14"/>
      <c r="E400" s="13"/>
      <c r="F400" s="282"/>
      <c r="G400" s="12"/>
      <c r="H400" s="268"/>
      <c r="I400" s="9"/>
      <c r="J400" s="11"/>
      <c r="K400" s="10"/>
      <c r="N400" s="88"/>
    </row>
    <row r="401" spans="1:14" ht="15">
      <c r="A401" s="88"/>
      <c r="B401" s="16"/>
      <c r="C401" s="15"/>
      <c r="D401" s="14"/>
      <c r="E401" s="13"/>
      <c r="F401" s="282"/>
      <c r="G401" s="12"/>
      <c r="H401" s="268"/>
      <c r="I401" s="9"/>
      <c r="J401" s="11"/>
      <c r="K401" s="10"/>
      <c r="N401" s="88"/>
    </row>
    <row r="402" spans="1:14">
      <c r="F402" s="296"/>
      <c r="H402" s="278"/>
    </row>
    <row r="403" spans="1:14">
      <c r="F403" s="296"/>
      <c r="H403" s="278"/>
    </row>
    <row r="404" spans="1:14">
      <c r="F404" s="296"/>
      <c r="H404" s="278"/>
    </row>
  </sheetData>
  <mergeCells count="7">
    <mergeCell ref="L6:M6"/>
    <mergeCell ref="D2:F3"/>
    <mergeCell ref="B2:C3"/>
    <mergeCell ref="B4:C5"/>
    <mergeCell ref="D4:E5"/>
    <mergeCell ref="K4:L5"/>
    <mergeCell ref="I4:J5"/>
  </mergeCells>
  <hyperlinks>
    <hyperlink ref="E8:F8" r:id="rId1" display="LAST MONTH BALANCE"/>
  </hyperlinks>
  <pageMargins left="0" right="0" top="0" bottom="0" header="0.51180555555555596" footer="0.51180555555555596"/>
  <pageSetup paperSize="9" scale="8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1:F30"/>
  <sheetViews>
    <sheetView workbookViewId="0">
      <selection activeCell="B25" sqref="B14:B25"/>
    </sheetView>
  </sheetViews>
  <sheetFormatPr defaultRowHeight="15"/>
  <cols>
    <col min="1" max="1" width="10.28515625" customWidth="1"/>
    <col min="2" max="2" width="12.85546875" style="81" bestFit="1" customWidth="1"/>
    <col min="3" max="3" width="18.28515625" bestFit="1" customWidth="1"/>
  </cols>
  <sheetData>
    <row r="1" spans="2:3" ht="37.5" customHeight="1" thickBot="1"/>
    <row r="2" spans="2:3" ht="15.75">
      <c r="B2" s="84" t="s">
        <v>42</v>
      </c>
      <c r="C2" s="24">
        <v>43313</v>
      </c>
    </row>
    <row r="3" spans="2:3" ht="15.75">
      <c r="B3" s="83">
        <f>998850+500000+29986</f>
        <v>1528836</v>
      </c>
      <c r="C3" s="22" t="s">
        <v>12</v>
      </c>
    </row>
    <row r="4" spans="2:3" ht="15.75">
      <c r="B4" s="83">
        <v>25542</v>
      </c>
      <c r="C4" s="22" t="s">
        <v>41</v>
      </c>
    </row>
    <row r="5" spans="2:3" ht="15.75">
      <c r="B5" s="83">
        <f>64525-30000</f>
        <v>34525</v>
      </c>
      <c r="C5" s="22" t="s">
        <v>40</v>
      </c>
    </row>
    <row r="6" spans="2:3" ht="15.75">
      <c r="B6" s="83">
        <f>505249-100000</f>
        <v>405249</v>
      </c>
      <c r="C6" s="22" t="s">
        <v>39</v>
      </c>
    </row>
    <row r="7" spans="2:3" ht="15.75">
      <c r="B7" s="83">
        <v>-168895</v>
      </c>
      <c r="C7" s="22" t="s">
        <v>38</v>
      </c>
    </row>
    <row r="8" spans="2:3" ht="15.75">
      <c r="B8" s="83">
        <v>-1703481</v>
      </c>
      <c r="C8" s="22" t="s">
        <v>37</v>
      </c>
    </row>
    <row r="9" spans="2:3" ht="15.75">
      <c r="B9" s="83">
        <v>-17700</v>
      </c>
      <c r="C9" s="22" t="s">
        <v>9</v>
      </c>
    </row>
    <row r="10" spans="2:3" ht="16.5" thickBot="1">
      <c r="B10" s="82">
        <f>SUM(B2:B9)</f>
        <v>104076</v>
      </c>
      <c r="C10" s="20"/>
    </row>
    <row r="30" spans="6:6">
      <c r="F30" t="s">
        <v>43</v>
      </c>
    </row>
  </sheetData>
  <pageMargins left="0" right="0" top="0" bottom="0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2060"/>
  </sheetPr>
  <dimension ref="A1:P122"/>
  <sheetViews>
    <sheetView topLeftCell="B1" workbookViewId="0">
      <pane ySplit="2" topLeftCell="A15" activePane="bottomLeft" state="frozen"/>
      <selection pane="bottomLeft" activeCell="K1" sqref="K1:K1048576"/>
    </sheetView>
  </sheetViews>
  <sheetFormatPr defaultColWidth="9.140625" defaultRowHeight="15.75"/>
  <cols>
    <col min="1" max="1" width="2.140625" style="8" customWidth="1"/>
    <col min="2" max="2" width="9.140625" style="2"/>
    <col min="3" max="3" width="15.7109375" style="1" bestFit="1" customWidth="1"/>
    <col min="4" max="4" width="8.5703125" customWidth="1"/>
    <col min="5" max="5" width="9.7109375" customWidth="1"/>
    <col min="6" max="6" width="18.28515625" bestFit="1" customWidth="1"/>
    <col min="7" max="7" width="16.140625" bestFit="1" customWidth="1"/>
    <col min="8" max="8" width="10.7109375" customWidth="1"/>
    <col min="9" max="9" width="8.140625" customWidth="1"/>
    <col min="10" max="10" width="2" customWidth="1"/>
    <col min="11" max="11" width="13.5703125" style="142" bestFit="1" customWidth="1"/>
    <col min="13" max="13" width="17.140625" customWidth="1"/>
    <col min="14" max="14" width="10.140625" customWidth="1"/>
    <col min="15" max="15" width="18.28515625" bestFit="1" customWidth="1"/>
    <col min="16" max="16" width="5" customWidth="1"/>
    <col min="17" max="17" width="13.140625" customWidth="1"/>
    <col min="21" max="22" width="11.85546875" customWidth="1"/>
    <col min="23" max="23" width="8.140625" customWidth="1"/>
  </cols>
  <sheetData>
    <row r="1" spans="1:16" ht="21.75" thickBot="1">
      <c r="A1" s="80"/>
      <c r="B1" s="77"/>
      <c r="C1" s="76" t="s">
        <v>35</v>
      </c>
      <c r="D1" s="74" t="s">
        <v>34</v>
      </c>
      <c r="E1" s="75" t="s">
        <v>12</v>
      </c>
      <c r="F1" s="74"/>
      <c r="G1" s="74"/>
      <c r="H1" s="74"/>
      <c r="I1" s="73">
        <f>SUM(I3:I11)</f>
        <v>0</v>
      </c>
      <c r="J1" s="72"/>
      <c r="K1" s="136">
        <f>SUM(K3:K126)</f>
        <v>-1639029</v>
      </c>
      <c r="L1" s="129">
        <f>SUM(L3:L126)</f>
        <v>46099</v>
      </c>
    </row>
    <row r="2" spans="1:16" s="30" customFormat="1" ht="19.5" customHeight="1" thickBot="1">
      <c r="A2" s="71"/>
      <c r="B2" s="63"/>
      <c r="C2" s="62" t="s">
        <v>159</v>
      </c>
      <c r="D2" s="61">
        <f>SUM(D24:D1934)</f>
        <v>0</v>
      </c>
      <c r="E2" s="60" t="s">
        <v>27</v>
      </c>
      <c r="F2" s="59"/>
      <c r="G2" s="59" t="s">
        <v>26</v>
      </c>
      <c r="H2" s="59" t="s">
        <v>25</v>
      </c>
      <c r="I2" s="57" t="s">
        <v>23</v>
      </c>
      <c r="J2" s="58"/>
      <c r="K2" s="137" t="s">
        <v>24</v>
      </c>
      <c r="L2"/>
    </row>
    <row r="3" spans="1:16" s="30" customFormat="1">
      <c r="A3" s="8"/>
      <c r="B3" s="32"/>
      <c r="C3" s="44">
        <v>43180</v>
      </c>
      <c r="D3" s="43"/>
      <c r="E3" s="42"/>
      <c r="F3" s="41" t="s">
        <v>19</v>
      </c>
      <c r="G3" s="40" t="s">
        <v>14</v>
      </c>
      <c r="H3" s="39"/>
      <c r="I3" s="38"/>
      <c r="J3" s="37"/>
      <c r="K3" s="138">
        <v>-500000</v>
      </c>
      <c r="L3"/>
    </row>
    <row r="4" spans="1:16" s="30" customFormat="1">
      <c r="A4" s="8"/>
      <c r="B4" s="32"/>
      <c r="C4" s="53">
        <v>43180</v>
      </c>
      <c r="D4" s="43"/>
      <c r="E4" s="52">
        <v>5983</v>
      </c>
      <c r="F4" s="41" t="s">
        <v>19</v>
      </c>
      <c r="G4" s="40" t="s">
        <v>14</v>
      </c>
      <c r="H4" s="51"/>
      <c r="I4" s="38"/>
      <c r="J4" s="37"/>
      <c r="K4" s="138">
        <v>-25370</v>
      </c>
      <c r="L4"/>
    </row>
    <row r="5" spans="1:16" s="30" customFormat="1" ht="16.5" thickBot="1">
      <c r="A5" s="8"/>
      <c r="B5" s="32"/>
      <c r="C5" s="50">
        <v>43187</v>
      </c>
      <c r="D5" s="45" t="s">
        <v>21</v>
      </c>
      <c r="E5" s="49">
        <v>5999</v>
      </c>
      <c r="F5" s="48" t="s">
        <v>19</v>
      </c>
      <c r="G5" s="47" t="s">
        <v>14</v>
      </c>
      <c r="H5" s="46"/>
      <c r="I5" s="46"/>
      <c r="J5" s="46"/>
      <c r="K5" s="139">
        <v>-200000</v>
      </c>
      <c r="L5"/>
      <c r="M5"/>
      <c r="N5"/>
      <c r="O5"/>
      <c r="P5"/>
    </row>
    <row r="6" spans="1:16" s="30" customFormat="1" ht="16.5" thickBot="1">
      <c r="A6" s="8"/>
      <c r="B6" s="32"/>
      <c r="C6" s="31">
        <v>43188</v>
      </c>
      <c r="D6" s="45" t="s">
        <v>21</v>
      </c>
      <c r="E6" s="28" t="s">
        <v>20</v>
      </c>
      <c r="F6" s="34" t="s">
        <v>19</v>
      </c>
      <c r="G6" s="29" t="s">
        <v>14</v>
      </c>
      <c r="H6" s="33"/>
      <c r="I6" s="33"/>
      <c r="J6" s="33"/>
      <c r="K6" s="140">
        <v>-2700</v>
      </c>
      <c r="L6"/>
      <c r="M6"/>
      <c r="N6" s="25" t="s">
        <v>13</v>
      </c>
      <c r="O6" s="24">
        <v>43252</v>
      </c>
      <c r="P6"/>
    </row>
    <row r="7" spans="1:16" s="30" customFormat="1" ht="16.5" thickBot="1">
      <c r="A7" s="8"/>
      <c r="B7" s="32"/>
      <c r="C7" s="31">
        <v>43190</v>
      </c>
      <c r="D7" s="45" t="s">
        <v>21</v>
      </c>
      <c r="E7" s="28" t="s">
        <v>20</v>
      </c>
      <c r="F7" s="34" t="s">
        <v>19</v>
      </c>
      <c r="G7" s="29" t="s">
        <v>14</v>
      </c>
      <c r="H7" s="33"/>
      <c r="I7" s="33"/>
      <c r="J7" s="33"/>
      <c r="K7" s="140">
        <v>-66600</v>
      </c>
      <c r="L7"/>
      <c r="M7"/>
      <c r="N7" s="23">
        <v>970252</v>
      </c>
      <c r="O7" s="22" t="s">
        <v>12</v>
      </c>
      <c r="P7"/>
    </row>
    <row r="8" spans="1:16" s="30" customFormat="1" ht="16.5" thickBot="1">
      <c r="A8" s="8"/>
      <c r="B8" s="32"/>
      <c r="C8" s="31">
        <v>43194</v>
      </c>
      <c r="D8" s="45" t="s">
        <v>21</v>
      </c>
      <c r="E8" s="28" t="s">
        <v>20</v>
      </c>
      <c r="F8" s="34" t="s">
        <v>19</v>
      </c>
      <c r="G8" s="29" t="s">
        <v>14</v>
      </c>
      <c r="H8" s="33"/>
      <c r="I8" s="33"/>
      <c r="J8" s="33"/>
      <c r="K8" s="140">
        <v>-22300</v>
      </c>
      <c r="L8"/>
      <c r="M8"/>
      <c r="N8" s="23">
        <v>0</v>
      </c>
      <c r="O8" s="22" t="s">
        <v>4</v>
      </c>
      <c r="P8"/>
    </row>
    <row r="9" spans="1:16">
      <c r="C9" s="44">
        <v>43227</v>
      </c>
      <c r="D9" s="43"/>
      <c r="E9" s="42"/>
      <c r="F9" s="41" t="s">
        <v>19</v>
      </c>
      <c r="G9" s="40" t="s">
        <v>14</v>
      </c>
      <c r="H9" s="39"/>
      <c r="I9" s="38"/>
      <c r="J9" s="37"/>
      <c r="K9" s="138">
        <v>-18600</v>
      </c>
      <c r="N9" s="23">
        <v>-244170</v>
      </c>
      <c r="O9" s="22" t="s">
        <v>11</v>
      </c>
    </row>
    <row r="10" spans="1:16" ht="16.5" thickBot="1">
      <c r="C10" s="44">
        <v>43200</v>
      </c>
      <c r="D10" s="43"/>
      <c r="E10" s="42"/>
      <c r="F10" s="41" t="s">
        <v>19</v>
      </c>
      <c r="G10" s="40" t="s">
        <v>14</v>
      </c>
      <c r="H10" s="39"/>
      <c r="I10" s="38"/>
      <c r="J10" s="37"/>
      <c r="K10" s="138">
        <v>-19200</v>
      </c>
      <c r="N10" s="23">
        <v>-645316</v>
      </c>
      <c r="O10" s="22" t="s">
        <v>10</v>
      </c>
    </row>
    <row r="11" spans="1:16" ht="16.5" thickBot="1">
      <c r="C11" s="31">
        <v>43211</v>
      </c>
      <c r="D11" s="35"/>
      <c r="E11" s="28">
        <v>6677</v>
      </c>
      <c r="F11" s="34" t="s">
        <v>19</v>
      </c>
      <c r="G11" s="29" t="s">
        <v>14</v>
      </c>
      <c r="H11" s="33"/>
      <c r="I11" s="33"/>
      <c r="J11" s="33"/>
      <c r="K11" s="140">
        <v>-74000</v>
      </c>
      <c r="N11" s="23">
        <v>-11000</v>
      </c>
      <c r="O11" s="22" t="s">
        <v>9</v>
      </c>
    </row>
    <row r="12" spans="1:16" s="30" customFormat="1" ht="16.5" thickBot="1">
      <c r="A12" s="8"/>
      <c r="B12" s="32"/>
      <c r="C12" s="31">
        <v>43221</v>
      </c>
      <c r="E12" s="30" t="s">
        <v>18</v>
      </c>
      <c r="G12" s="29" t="s">
        <v>44</v>
      </c>
      <c r="K12" s="140">
        <v>-21339</v>
      </c>
      <c r="M12"/>
      <c r="N12" s="23">
        <v>-500</v>
      </c>
      <c r="O12" s="22" t="s">
        <v>8</v>
      </c>
      <c r="P12"/>
    </row>
    <row r="13" spans="1:16" ht="16.5" thickBot="1">
      <c r="C13" s="31">
        <v>43252</v>
      </c>
      <c r="E13" s="30" t="s">
        <v>17</v>
      </c>
      <c r="G13" s="29" t="s">
        <v>44</v>
      </c>
      <c r="K13" s="140">
        <v>-20143</v>
      </c>
      <c r="N13" s="21">
        <f>SUM(N6:N12)</f>
        <v>69266</v>
      </c>
      <c r="O13" s="20"/>
    </row>
    <row r="14" spans="1:16" ht="16.5" thickBot="1">
      <c r="C14" s="31">
        <v>43282</v>
      </c>
      <c r="E14" s="30" t="s">
        <v>16</v>
      </c>
      <c r="G14" s="29" t="s">
        <v>44</v>
      </c>
      <c r="K14" s="140">
        <v>-28598</v>
      </c>
    </row>
    <row r="15" spans="1:16" ht="16.5" thickBot="1">
      <c r="C15" s="31">
        <v>43313</v>
      </c>
      <c r="E15" s="30" t="s">
        <v>15</v>
      </c>
      <c r="G15" s="29" t="s">
        <v>44</v>
      </c>
      <c r="K15" s="141">
        <v>-29986</v>
      </c>
    </row>
    <row r="16" spans="1:16" ht="16.5" thickBot="1">
      <c r="C16" s="26">
        <v>43331</v>
      </c>
      <c r="E16" s="28" t="s">
        <v>20</v>
      </c>
      <c r="F16" s="34" t="s">
        <v>19</v>
      </c>
      <c r="G16" s="29" t="s">
        <v>14</v>
      </c>
      <c r="K16" s="141">
        <v>-500000</v>
      </c>
    </row>
    <row r="17" spans="1:14" ht="16.5" thickBot="1">
      <c r="A17"/>
      <c r="C17" s="26">
        <v>43344</v>
      </c>
      <c r="E17" s="30" t="s">
        <v>41</v>
      </c>
      <c r="G17" s="29" t="s">
        <v>44</v>
      </c>
      <c r="K17" s="141">
        <v>-25542</v>
      </c>
    </row>
    <row r="18" spans="1:14" ht="16.5" thickBot="1">
      <c r="A18"/>
      <c r="C18" s="26">
        <v>43374</v>
      </c>
      <c r="E18" s="30" t="s">
        <v>52</v>
      </c>
      <c r="G18" s="29" t="s">
        <v>44</v>
      </c>
      <c r="K18" s="141">
        <v>-23981</v>
      </c>
    </row>
    <row r="19" spans="1:14" ht="16.5" thickBot="1">
      <c r="A19"/>
      <c r="C19" s="26">
        <v>43405</v>
      </c>
      <c r="E19" s="30" t="s">
        <v>98</v>
      </c>
      <c r="F19" s="106"/>
      <c r="G19" s="29" t="s">
        <v>44</v>
      </c>
      <c r="K19" s="141">
        <v>-32416</v>
      </c>
    </row>
    <row r="20" spans="1:14" ht="16.5" thickBot="1">
      <c r="A20"/>
      <c r="C20" s="113">
        <v>43433</v>
      </c>
      <c r="D20" s="34" t="s">
        <v>19</v>
      </c>
      <c r="E20" s="30" t="s">
        <v>102</v>
      </c>
      <c r="F20" s="106" t="s">
        <v>104</v>
      </c>
      <c r="G20" s="29" t="s">
        <v>103</v>
      </c>
      <c r="K20" s="141">
        <f>100000+25000</f>
        <v>125000</v>
      </c>
    </row>
    <row r="21" spans="1:14" ht="16.5" thickBot="1">
      <c r="A21"/>
      <c r="C21" s="26">
        <v>43435</v>
      </c>
      <c r="E21" s="30" t="s">
        <v>99</v>
      </c>
      <c r="G21" s="29" t="s">
        <v>44</v>
      </c>
      <c r="K21" s="141">
        <v>-20587</v>
      </c>
    </row>
    <row r="22" spans="1:14" ht="16.5" thickBot="1">
      <c r="A22"/>
      <c r="C22" s="113">
        <v>43442</v>
      </c>
      <c r="E22" s="30" t="s">
        <v>125</v>
      </c>
      <c r="F22" s="106" t="s">
        <v>124</v>
      </c>
      <c r="G22" s="29" t="s">
        <v>103</v>
      </c>
      <c r="K22" s="141">
        <v>-60000</v>
      </c>
    </row>
    <row r="23" spans="1:14" ht="16.5" thickBot="1">
      <c r="A23"/>
      <c r="C23" s="113">
        <v>43443</v>
      </c>
      <c r="E23" s="30" t="s">
        <v>125</v>
      </c>
      <c r="F23" s="106" t="s">
        <v>124</v>
      </c>
      <c r="G23" s="29" t="s">
        <v>103</v>
      </c>
      <c r="K23" s="141">
        <v>-15000</v>
      </c>
    </row>
    <row r="24" spans="1:14" ht="16.5" thickBot="1">
      <c r="A24"/>
      <c r="C24" s="113">
        <v>43444</v>
      </c>
      <c r="E24" s="30" t="s">
        <v>125</v>
      </c>
      <c r="F24" s="106" t="s">
        <v>124</v>
      </c>
      <c r="G24" s="29" t="s">
        <v>103</v>
      </c>
      <c r="K24" s="141">
        <v>-50000</v>
      </c>
    </row>
    <row r="25" spans="1:14" ht="16.5" thickBot="1">
      <c r="A25"/>
      <c r="C25" s="26">
        <v>43458</v>
      </c>
      <c r="E25" s="30" t="s">
        <v>125</v>
      </c>
      <c r="F25" s="106" t="s">
        <v>104</v>
      </c>
      <c r="G25" s="128" t="s">
        <v>103</v>
      </c>
      <c r="K25" s="141">
        <v>50000</v>
      </c>
    </row>
    <row r="26" spans="1:14" ht="16.5" thickBot="1">
      <c r="A26"/>
      <c r="C26" s="26">
        <v>43466</v>
      </c>
      <c r="E26" s="30" t="s">
        <v>158</v>
      </c>
      <c r="G26" s="29" t="s">
        <v>44</v>
      </c>
      <c r="K26" s="141">
        <v>-23768</v>
      </c>
    </row>
    <row r="27" spans="1:14" ht="16.5" thickBot="1">
      <c r="A27"/>
      <c r="C27" s="26">
        <v>43497</v>
      </c>
      <c r="E27" s="30" t="s">
        <v>183</v>
      </c>
      <c r="G27" s="29" t="s">
        <v>44</v>
      </c>
      <c r="K27" s="141">
        <v>-17259</v>
      </c>
      <c r="L27" s="135" t="s">
        <v>352</v>
      </c>
      <c r="M27" s="135" t="s">
        <v>351</v>
      </c>
    </row>
    <row r="28" spans="1:14" ht="16.5" thickBot="1">
      <c r="A28"/>
      <c r="C28" s="26">
        <v>43525</v>
      </c>
      <c r="E28" s="30" t="s">
        <v>250</v>
      </c>
      <c r="F28" s="30" t="s">
        <v>253</v>
      </c>
      <c r="G28" s="29" t="s">
        <v>44</v>
      </c>
      <c r="H28" t="s">
        <v>350</v>
      </c>
      <c r="K28" s="141">
        <f>-18140+1500</f>
        <v>-16640</v>
      </c>
      <c r="L28" s="127">
        <f>8926+1500</f>
        <v>10426</v>
      </c>
      <c r="M28" s="27">
        <v>12200</v>
      </c>
      <c r="N28" s="127"/>
    </row>
    <row r="29" spans="1:14" ht="16.5" thickBot="1">
      <c r="A29"/>
      <c r="C29" s="26">
        <v>43556</v>
      </c>
      <c r="E29" s="30" t="s">
        <v>254</v>
      </c>
      <c r="F29" s="30" t="s">
        <v>253</v>
      </c>
      <c r="G29" s="29" t="s">
        <v>44</v>
      </c>
      <c r="H29" t="s">
        <v>350</v>
      </c>
      <c r="K29" s="141"/>
      <c r="L29" s="127">
        <f>12430</f>
        <v>12430</v>
      </c>
      <c r="M29" s="27">
        <v>14500</v>
      </c>
      <c r="N29" s="127"/>
    </row>
    <row r="30" spans="1:14" ht="16.5" thickBot="1">
      <c r="A30"/>
      <c r="C30" s="1">
        <v>43586</v>
      </c>
      <c r="E30" s="30" t="s">
        <v>281</v>
      </c>
      <c r="F30" s="30" t="s">
        <v>253</v>
      </c>
      <c r="G30" s="29" t="s">
        <v>44</v>
      </c>
      <c r="H30" t="s">
        <v>350</v>
      </c>
      <c r="K30" s="141"/>
      <c r="L30" s="127">
        <f>10833</f>
        <v>10833</v>
      </c>
      <c r="M30" s="27">
        <v>13300</v>
      </c>
      <c r="N30" s="127"/>
    </row>
    <row r="31" spans="1:14" ht="16.5" thickBot="1">
      <c r="A31"/>
      <c r="C31" s="1">
        <v>43617</v>
      </c>
      <c r="E31" s="30" t="s">
        <v>17</v>
      </c>
      <c r="F31" s="30" t="s">
        <v>253</v>
      </c>
      <c r="G31" s="29" t="s">
        <v>44</v>
      </c>
      <c r="H31" t="s">
        <v>350</v>
      </c>
      <c r="K31" s="141"/>
      <c r="L31" s="127">
        <f>12410</f>
        <v>12410</v>
      </c>
      <c r="M31" s="27">
        <v>6625</v>
      </c>
      <c r="N31" s="127"/>
    </row>
    <row r="32" spans="1:14" ht="16.5" thickBot="1">
      <c r="A32"/>
      <c r="C32" s="1">
        <v>43647</v>
      </c>
      <c r="E32" s="30" t="s">
        <v>16</v>
      </c>
      <c r="G32" s="29" t="s">
        <v>44</v>
      </c>
      <c r="H32" t="s">
        <v>350</v>
      </c>
      <c r="K32" s="141"/>
      <c r="L32" s="127"/>
    </row>
    <row r="33" spans="1:12">
      <c r="A33"/>
      <c r="L33" s="127"/>
    </row>
    <row r="34" spans="1:12">
      <c r="A34"/>
      <c r="L34" s="127"/>
    </row>
    <row r="35" spans="1:12">
      <c r="A35"/>
      <c r="L35" s="127"/>
    </row>
    <row r="36" spans="1:12">
      <c r="A36"/>
      <c r="L36" s="127"/>
    </row>
    <row r="37" spans="1:12">
      <c r="A37"/>
      <c r="L37" s="127"/>
    </row>
    <row r="38" spans="1:12">
      <c r="A38"/>
      <c r="L38" s="127"/>
    </row>
    <row r="39" spans="1:12">
      <c r="A39"/>
      <c r="L39" s="127"/>
    </row>
    <row r="40" spans="1:12" ht="15">
      <c r="A40"/>
    </row>
    <row r="41" spans="1:12" ht="15">
      <c r="A41"/>
    </row>
    <row r="42" spans="1:12" ht="15">
      <c r="A42"/>
    </row>
    <row r="43" spans="1:12" ht="15">
      <c r="A43"/>
    </row>
    <row r="44" spans="1:12" ht="15">
      <c r="A44"/>
    </row>
    <row r="45" spans="1:12" ht="15">
      <c r="A45"/>
    </row>
    <row r="46" spans="1:12" ht="15">
      <c r="A46"/>
    </row>
    <row r="47" spans="1:12" ht="15">
      <c r="A47"/>
    </row>
    <row r="48" spans="1:12" ht="15">
      <c r="A48"/>
    </row>
    <row r="49" spans="1:4" ht="15">
      <c r="A49"/>
    </row>
    <row r="50" spans="1:4" ht="15">
      <c r="A50"/>
    </row>
    <row r="51" spans="1:4" ht="15">
      <c r="A51"/>
    </row>
    <row r="52" spans="1:4" ht="15">
      <c r="A52"/>
    </row>
    <row r="53" spans="1:4" ht="15">
      <c r="A53"/>
    </row>
    <row r="54" spans="1:4" ht="15">
      <c r="A54"/>
    </row>
    <row r="55" spans="1:4" ht="15">
      <c r="A55"/>
    </row>
    <row r="56" spans="1:4" ht="15">
      <c r="A56"/>
    </row>
    <row r="57" spans="1:4" ht="15">
      <c r="A57"/>
    </row>
    <row r="58" spans="1:4" ht="15">
      <c r="A58"/>
      <c r="D58">
        <v>500</v>
      </c>
    </row>
    <row r="59" spans="1:4" ht="15">
      <c r="A59"/>
      <c r="D59">
        <v>600</v>
      </c>
    </row>
    <row r="60" spans="1:4" ht="15">
      <c r="A60"/>
    </row>
    <row r="61" spans="1:4" ht="15">
      <c r="A61"/>
    </row>
    <row r="62" spans="1:4" ht="15">
      <c r="A62"/>
      <c r="D62">
        <v>600</v>
      </c>
    </row>
    <row r="63" spans="1:4" ht="15">
      <c r="A63"/>
      <c r="B63" s="2" t="s">
        <v>5</v>
      </c>
      <c r="D63">
        <v>500</v>
      </c>
    </row>
    <row r="64" spans="1:4" ht="15">
      <c r="A64"/>
      <c r="B64" s="2" t="s">
        <v>3</v>
      </c>
      <c r="D64">
        <v>800</v>
      </c>
    </row>
    <row r="65" spans="1:4" ht="15">
      <c r="A65"/>
    </row>
    <row r="66" spans="1:4" ht="15">
      <c r="A66"/>
      <c r="B66" s="2" t="s">
        <v>3</v>
      </c>
      <c r="D66">
        <v>600</v>
      </c>
    </row>
    <row r="67" spans="1:4" ht="15">
      <c r="A67"/>
      <c r="B67" s="2" t="s">
        <v>5</v>
      </c>
      <c r="D67">
        <v>500</v>
      </c>
    </row>
    <row r="68" spans="1:4" ht="15">
      <c r="A68"/>
    </row>
    <row r="69" spans="1:4" ht="15">
      <c r="A69"/>
    </row>
    <row r="70" spans="1:4" ht="15">
      <c r="A70"/>
    </row>
    <row r="71" spans="1:4" ht="15">
      <c r="A71"/>
      <c r="B71" s="2" t="s">
        <v>5</v>
      </c>
      <c r="D71">
        <v>1000</v>
      </c>
    </row>
    <row r="72" spans="1:4" ht="15">
      <c r="A72"/>
    </row>
    <row r="73" spans="1:4" ht="15">
      <c r="A73"/>
    </row>
    <row r="74" spans="1:4" ht="15">
      <c r="A74"/>
      <c r="B74" s="2" t="s">
        <v>5</v>
      </c>
      <c r="D74">
        <v>600</v>
      </c>
    </row>
    <row r="75" spans="1:4" ht="15">
      <c r="A75"/>
    </row>
    <row r="76" spans="1:4" ht="15">
      <c r="A76"/>
    </row>
    <row r="77" spans="1:4" ht="15">
      <c r="A77"/>
      <c r="B77" s="2" t="s">
        <v>3</v>
      </c>
      <c r="D77">
        <v>150</v>
      </c>
    </row>
    <row r="78" spans="1:4" ht="15">
      <c r="A78"/>
      <c r="B78" s="2" t="s">
        <v>3</v>
      </c>
      <c r="D78">
        <v>600</v>
      </c>
    </row>
    <row r="79" spans="1:4" ht="15">
      <c r="A79"/>
      <c r="D79">
        <v>-6450</v>
      </c>
    </row>
    <row r="80" spans="1:4" ht="15">
      <c r="A80"/>
    </row>
    <row r="81" spans="1:3" ht="15">
      <c r="A81"/>
    </row>
    <row r="82" spans="1:3" ht="15">
      <c r="A82"/>
    </row>
    <row r="83" spans="1:3" ht="15">
      <c r="A83"/>
    </row>
    <row r="84" spans="1:3" ht="15">
      <c r="A84"/>
    </row>
    <row r="85" spans="1:3" ht="15">
      <c r="A85"/>
    </row>
    <row r="86" spans="1:3" ht="15">
      <c r="A86"/>
    </row>
    <row r="87" spans="1:3" ht="15">
      <c r="A87"/>
    </row>
    <row r="88" spans="1:3" ht="15">
      <c r="A88"/>
    </row>
    <row r="89" spans="1:3" ht="15">
      <c r="A89"/>
    </row>
    <row r="90" spans="1:3" ht="15">
      <c r="A90"/>
    </row>
    <row r="91" spans="1:3" ht="15">
      <c r="A91"/>
    </row>
    <row r="92" spans="1:3" ht="15">
      <c r="A92"/>
    </row>
    <row r="93" spans="1:3" ht="15">
      <c r="A93"/>
      <c r="B93"/>
      <c r="C93"/>
    </row>
    <row r="94" spans="1:3" ht="15">
      <c r="A94"/>
      <c r="B94"/>
      <c r="C94"/>
    </row>
    <row r="95" spans="1:3" ht="15">
      <c r="A95"/>
      <c r="B95"/>
      <c r="C95"/>
    </row>
    <row r="96" spans="1:3" ht="15">
      <c r="A96"/>
      <c r="B96"/>
      <c r="C96"/>
    </row>
    <row r="97" spans="1:3" ht="15">
      <c r="A97"/>
      <c r="B97"/>
      <c r="C97"/>
    </row>
    <row r="98" spans="1:3" ht="15">
      <c r="A98"/>
      <c r="B98"/>
      <c r="C98"/>
    </row>
    <row r="99" spans="1:3" ht="15">
      <c r="A99"/>
      <c r="B99"/>
      <c r="C99"/>
    </row>
    <row r="100" spans="1:3" ht="15">
      <c r="A100"/>
      <c r="B100"/>
      <c r="C100"/>
    </row>
    <row r="101" spans="1:3" ht="15">
      <c r="A101"/>
      <c r="B101"/>
      <c r="C101"/>
    </row>
    <row r="102" spans="1:3" ht="15">
      <c r="A102"/>
      <c r="B102"/>
      <c r="C102"/>
    </row>
    <row r="103" spans="1:3" ht="15">
      <c r="A103"/>
      <c r="B103"/>
      <c r="C103"/>
    </row>
    <row r="104" spans="1:3" ht="15">
      <c r="A104"/>
      <c r="B104"/>
      <c r="C104"/>
    </row>
    <row r="105" spans="1:3" ht="15">
      <c r="A105"/>
      <c r="B105"/>
      <c r="C105"/>
    </row>
    <row r="106" spans="1:3" ht="15">
      <c r="A106"/>
      <c r="B106"/>
      <c r="C106"/>
    </row>
    <row r="107" spans="1:3" ht="15">
      <c r="A107"/>
      <c r="B107"/>
      <c r="C107"/>
    </row>
    <row r="108" spans="1:3" ht="15">
      <c r="A108"/>
      <c r="B108"/>
      <c r="C108"/>
    </row>
    <row r="109" spans="1:3" ht="15">
      <c r="A109"/>
      <c r="B109"/>
      <c r="C109"/>
    </row>
    <row r="110" spans="1:3" ht="15">
      <c r="A110"/>
      <c r="B110"/>
      <c r="C110"/>
    </row>
    <row r="111" spans="1:3" ht="15">
      <c r="A111"/>
      <c r="B111"/>
      <c r="C111"/>
    </row>
    <row r="112" spans="1:3" ht="15">
      <c r="A112"/>
      <c r="B112"/>
      <c r="C112"/>
    </row>
    <row r="113" spans="1:3" ht="15">
      <c r="A113"/>
      <c r="B113"/>
      <c r="C113"/>
    </row>
    <row r="114" spans="1:3" ht="15">
      <c r="A114"/>
      <c r="B114"/>
      <c r="C114"/>
    </row>
    <row r="115" spans="1:3" ht="15">
      <c r="A115"/>
      <c r="B115"/>
      <c r="C115"/>
    </row>
    <row r="116" spans="1:3" ht="15">
      <c r="A116"/>
      <c r="B116"/>
      <c r="C116"/>
    </row>
    <row r="117" spans="1:3" ht="15">
      <c r="A117"/>
      <c r="B117"/>
      <c r="C117"/>
    </row>
    <row r="118" spans="1:3" ht="15">
      <c r="A118"/>
      <c r="B118"/>
      <c r="C118"/>
    </row>
    <row r="119" spans="1:3" ht="15">
      <c r="A119"/>
      <c r="B119"/>
      <c r="C119"/>
    </row>
    <row r="120" spans="1:3" ht="15">
      <c r="A120"/>
      <c r="B120"/>
      <c r="C120"/>
    </row>
    <row r="121" spans="1:3" ht="15">
      <c r="A121"/>
      <c r="B121"/>
      <c r="C121"/>
    </row>
    <row r="122" spans="1:3" ht="15">
      <c r="A122"/>
      <c r="B122"/>
      <c r="C122"/>
    </row>
  </sheetData>
  <pageMargins left="0" right="0" top="0" bottom="0" header="0.51180555555555596" footer="0.51180555555555596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2060"/>
  </sheetPr>
  <dimension ref="A1:Q64"/>
  <sheetViews>
    <sheetView tabSelected="1" workbookViewId="0">
      <pane ySplit="3" topLeftCell="A25" activePane="bottomLeft" state="frozen"/>
      <selection pane="bottomLeft" activeCell="J41" sqref="J41:J46"/>
    </sheetView>
  </sheetViews>
  <sheetFormatPr defaultColWidth="9.140625" defaultRowHeight="15.75"/>
  <cols>
    <col min="1" max="1" width="2.140625" style="8" customWidth="1"/>
    <col min="2" max="2" width="2.85546875" style="8" customWidth="1"/>
    <col min="3" max="3" width="16.5703125" style="1" bestFit="1" customWidth="1"/>
    <col min="4" max="4" width="10.140625" bestFit="1" customWidth="1"/>
    <col min="5" max="5" width="12.5703125" bestFit="1" customWidth="1"/>
    <col min="6" max="6" width="10.85546875" bestFit="1" customWidth="1"/>
    <col min="7" max="7" width="16" bestFit="1" customWidth="1"/>
    <col min="8" max="8" width="1.42578125" style="81" customWidth="1"/>
    <col min="9" max="9" width="10.140625" style="81" customWidth="1"/>
    <col min="10" max="10" width="16.140625" style="81" bestFit="1" customWidth="1"/>
    <col min="11" max="11" width="14.5703125" style="143" bestFit="1" customWidth="1"/>
    <col min="12" max="12" width="0.7109375" style="81" customWidth="1"/>
    <col min="13" max="13" width="1" style="81" customWidth="1"/>
    <col min="14" max="14" width="15.85546875" style="81" customWidth="1"/>
    <col min="15" max="15" width="10.140625" customWidth="1"/>
    <col min="16" max="16" width="18.28515625" bestFit="1" customWidth="1"/>
    <col min="17" max="17" width="5" customWidth="1"/>
    <col min="18" max="18" width="13.140625" customWidth="1"/>
    <col min="22" max="23" width="11.85546875" customWidth="1"/>
    <col min="24" max="24" width="8.140625" customWidth="1"/>
  </cols>
  <sheetData>
    <row r="1" spans="1:17" ht="16.5" thickBot="1"/>
    <row r="2" spans="1:17" ht="21">
      <c r="A2" s="80"/>
      <c r="B2" s="80"/>
      <c r="C2" s="355" t="s">
        <v>362</v>
      </c>
      <c r="D2" s="356"/>
      <c r="E2" s="356"/>
      <c r="F2" s="173" t="s">
        <v>376</v>
      </c>
      <c r="G2" s="201">
        <f>K2+J2-I2</f>
        <v>1919166</v>
      </c>
      <c r="H2" s="174"/>
      <c r="I2" s="175">
        <f>SUM(I4:I68)</f>
        <v>9240</v>
      </c>
      <c r="J2" s="174">
        <f>SUM(J4:J68)</f>
        <v>549636</v>
      </c>
      <c r="K2" s="174">
        <f>SUM(K4:K68)</f>
        <v>1378770</v>
      </c>
      <c r="L2" s="202"/>
      <c r="M2" s="203"/>
    </row>
    <row r="3" spans="1:17" s="30" customFormat="1" ht="19.5" customHeight="1" thickBot="1">
      <c r="A3" s="71"/>
      <c r="B3" s="71"/>
      <c r="C3" s="168" t="s">
        <v>159</v>
      </c>
      <c r="D3" s="150"/>
      <c r="E3" s="151" t="s">
        <v>27</v>
      </c>
      <c r="F3" s="151"/>
      <c r="G3" s="151" t="s">
        <v>26</v>
      </c>
      <c r="H3" s="152"/>
      <c r="I3" s="153" t="s">
        <v>361</v>
      </c>
      <c r="J3" s="152" t="s">
        <v>360</v>
      </c>
      <c r="K3" s="211" t="s">
        <v>24</v>
      </c>
      <c r="L3" s="212"/>
      <c r="M3" s="213"/>
      <c r="N3" s="145"/>
    </row>
    <row r="4" spans="1:17" s="30" customFormat="1">
      <c r="A4" s="8"/>
      <c r="B4" s="8"/>
      <c r="C4" s="169">
        <v>43180</v>
      </c>
      <c r="D4" s="154"/>
      <c r="E4" s="155"/>
      <c r="F4" s="156" t="s">
        <v>19</v>
      </c>
      <c r="G4" s="157" t="s">
        <v>14</v>
      </c>
      <c r="H4" s="158"/>
      <c r="I4" s="179"/>
      <c r="J4" s="180"/>
      <c r="K4" s="209">
        <v>500000</v>
      </c>
      <c r="L4" s="209"/>
      <c r="M4" s="210">
        <f>-I4+J4+K4</f>
        <v>500000</v>
      </c>
      <c r="N4" s="145"/>
    </row>
    <row r="5" spans="1:17" s="30" customFormat="1">
      <c r="A5" s="8"/>
      <c r="B5" s="8"/>
      <c r="C5" s="170">
        <v>43180</v>
      </c>
      <c r="D5" s="154"/>
      <c r="E5" s="160">
        <v>5983</v>
      </c>
      <c r="F5" s="156" t="s">
        <v>19</v>
      </c>
      <c r="G5" s="157" t="s">
        <v>14</v>
      </c>
      <c r="H5" s="161"/>
      <c r="I5" s="179"/>
      <c r="J5" s="180"/>
      <c r="K5" s="159">
        <v>25370</v>
      </c>
      <c r="L5" s="159"/>
      <c r="M5" s="205">
        <f>M4-I5+J5+K5</f>
        <v>525370</v>
      </c>
      <c r="N5" s="145"/>
    </row>
    <row r="6" spans="1:17" s="30" customFormat="1" ht="16.5" thickBot="1">
      <c r="A6" s="8"/>
      <c r="B6" s="8"/>
      <c r="C6" s="170">
        <v>43187</v>
      </c>
      <c r="D6" s="162" t="s">
        <v>21</v>
      </c>
      <c r="E6" s="163">
        <v>5999</v>
      </c>
      <c r="F6" s="156" t="s">
        <v>19</v>
      </c>
      <c r="G6" s="157" t="s">
        <v>14</v>
      </c>
      <c r="H6" s="158"/>
      <c r="I6" s="179"/>
      <c r="J6" s="180"/>
      <c r="K6" s="159">
        <v>200000</v>
      </c>
      <c r="L6" s="159"/>
      <c r="M6" s="205">
        <f t="shared" ref="M6:M33" si="0">M5-I6+J6+K6</f>
        <v>725370</v>
      </c>
      <c r="N6" s="81"/>
      <c r="O6"/>
      <c r="P6"/>
      <c r="Q6"/>
    </row>
    <row r="7" spans="1:17" s="30" customFormat="1">
      <c r="A7" s="8"/>
      <c r="B7" s="8"/>
      <c r="C7" s="170">
        <v>43188</v>
      </c>
      <c r="D7" s="162" t="s">
        <v>21</v>
      </c>
      <c r="E7" s="164" t="s">
        <v>20</v>
      </c>
      <c r="F7" s="156" t="s">
        <v>19</v>
      </c>
      <c r="G7" s="157" t="s">
        <v>14</v>
      </c>
      <c r="H7" s="158"/>
      <c r="I7" s="179"/>
      <c r="J7" s="180"/>
      <c r="K7" s="159">
        <v>2700</v>
      </c>
      <c r="L7" s="159"/>
      <c r="M7" s="205">
        <f t="shared" si="0"/>
        <v>728070</v>
      </c>
      <c r="N7" s="81"/>
      <c r="O7" s="25" t="s">
        <v>13</v>
      </c>
      <c r="P7" s="24">
        <v>43252</v>
      </c>
      <c r="Q7"/>
    </row>
    <row r="8" spans="1:17" s="30" customFormat="1">
      <c r="A8" s="8"/>
      <c r="B8" s="8"/>
      <c r="C8" s="170">
        <v>43190</v>
      </c>
      <c r="D8" s="162" t="s">
        <v>21</v>
      </c>
      <c r="E8" s="164" t="s">
        <v>20</v>
      </c>
      <c r="F8" s="156" t="s">
        <v>19</v>
      </c>
      <c r="G8" s="157" t="s">
        <v>14</v>
      </c>
      <c r="H8" s="158"/>
      <c r="I8" s="179"/>
      <c r="J8" s="180"/>
      <c r="K8" s="159">
        <v>66600</v>
      </c>
      <c r="L8" s="159"/>
      <c r="M8" s="205">
        <f t="shared" si="0"/>
        <v>794670</v>
      </c>
      <c r="N8" s="81"/>
      <c r="O8" s="23">
        <v>970252</v>
      </c>
      <c r="P8" s="22" t="s">
        <v>12</v>
      </c>
      <c r="Q8"/>
    </row>
    <row r="9" spans="1:17" s="30" customFormat="1">
      <c r="A9" s="8"/>
      <c r="B9" s="8"/>
      <c r="C9" s="170">
        <v>43194</v>
      </c>
      <c r="D9" s="162" t="s">
        <v>21</v>
      </c>
      <c r="E9" s="164" t="s">
        <v>20</v>
      </c>
      <c r="F9" s="156" t="s">
        <v>19</v>
      </c>
      <c r="G9" s="157" t="s">
        <v>14</v>
      </c>
      <c r="H9" s="158"/>
      <c r="I9" s="179"/>
      <c r="J9" s="180"/>
      <c r="K9" s="159">
        <v>22300</v>
      </c>
      <c r="L9" s="159"/>
      <c r="M9" s="205">
        <f t="shared" si="0"/>
        <v>816970</v>
      </c>
      <c r="N9" s="81"/>
      <c r="O9" s="23">
        <v>0</v>
      </c>
      <c r="P9" s="22" t="s">
        <v>4</v>
      </c>
      <c r="Q9"/>
    </row>
    <row r="10" spans="1:17">
      <c r="C10" s="169">
        <v>43227</v>
      </c>
      <c r="D10" s="154"/>
      <c r="E10" s="155"/>
      <c r="F10" s="156" t="s">
        <v>19</v>
      </c>
      <c r="G10" s="157" t="s">
        <v>14</v>
      </c>
      <c r="H10" s="158"/>
      <c r="I10" s="179"/>
      <c r="J10" s="180"/>
      <c r="K10" s="159">
        <v>18600</v>
      </c>
      <c r="L10" s="159"/>
      <c r="M10" s="205">
        <f t="shared" si="0"/>
        <v>835570</v>
      </c>
      <c r="O10" s="23">
        <v>-244170</v>
      </c>
      <c r="P10" s="22" t="s">
        <v>11</v>
      </c>
    </row>
    <row r="11" spans="1:17">
      <c r="C11" s="169">
        <v>43200</v>
      </c>
      <c r="D11" s="154"/>
      <c r="E11" s="155"/>
      <c r="F11" s="156" t="s">
        <v>19</v>
      </c>
      <c r="G11" s="157" t="s">
        <v>14</v>
      </c>
      <c r="H11" s="158"/>
      <c r="I11" s="179"/>
      <c r="J11" s="180"/>
      <c r="K11" s="185">
        <v>19200</v>
      </c>
      <c r="L11" s="159"/>
      <c r="M11" s="205">
        <f t="shared" si="0"/>
        <v>854770</v>
      </c>
      <c r="O11" s="23">
        <v>-645316</v>
      </c>
      <c r="P11" s="22" t="s">
        <v>10</v>
      </c>
    </row>
    <row r="12" spans="1:17">
      <c r="C12" s="170">
        <v>43211</v>
      </c>
      <c r="D12" s="162"/>
      <c r="E12" s="164">
        <v>6677</v>
      </c>
      <c r="F12" s="156" t="s">
        <v>19</v>
      </c>
      <c r="G12" s="157" t="s">
        <v>14</v>
      </c>
      <c r="H12" s="158"/>
      <c r="I12" s="179"/>
      <c r="J12" s="180"/>
      <c r="K12" s="185">
        <v>74000</v>
      </c>
      <c r="L12" s="159"/>
      <c r="M12" s="205">
        <f t="shared" si="0"/>
        <v>928770</v>
      </c>
      <c r="O12" s="23">
        <v>-11000</v>
      </c>
      <c r="P12" s="22" t="s">
        <v>9</v>
      </c>
    </row>
    <row r="13" spans="1:17" s="30" customFormat="1">
      <c r="A13" s="8"/>
      <c r="B13" s="8"/>
      <c r="C13" s="170">
        <v>43221</v>
      </c>
      <c r="D13" s="165"/>
      <c r="E13" s="198" t="s">
        <v>375</v>
      </c>
      <c r="F13" s="165"/>
      <c r="G13" s="157" t="s">
        <v>44</v>
      </c>
      <c r="H13" s="159"/>
      <c r="I13" s="179"/>
      <c r="J13" s="181">
        <v>21339</v>
      </c>
      <c r="K13" s="185"/>
      <c r="L13" s="159"/>
      <c r="M13" s="205">
        <f t="shared" si="0"/>
        <v>950109</v>
      </c>
      <c r="N13" s="81"/>
      <c r="O13" s="23">
        <v>-500</v>
      </c>
      <c r="P13" s="22" t="s">
        <v>8</v>
      </c>
      <c r="Q13"/>
    </row>
    <row r="14" spans="1:17" ht="16.5" thickBot="1">
      <c r="C14" s="170">
        <v>43252</v>
      </c>
      <c r="D14" s="154"/>
      <c r="E14" s="198" t="s">
        <v>368</v>
      </c>
      <c r="F14" s="154"/>
      <c r="G14" s="157" t="s">
        <v>44</v>
      </c>
      <c r="H14" s="159"/>
      <c r="I14" s="179"/>
      <c r="J14" s="181">
        <v>20143</v>
      </c>
      <c r="K14" s="185"/>
      <c r="L14" s="159"/>
      <c r="M14" s="205">
        <f t="shared" si="0"/>
        <v>970252</v>
      </c>
      <c r="O14" s="21">
        <f>SUM(O7:O13)</f>
        <v>69266</v>
      </c>
      <c r="P14" s="20"/>
    </row>
    <row r="15" spans="1:17">
      <c r="C15" s="170">
        <v>43282</v>
      </c>
      <c r="D15" s="154"/>
      <c r="E15" s="198" t="s">
        <v>369</v>
      </c>
      <c r="F15" s="154"/>
      <c r="G15" s="157" t="s">
        <v>44</v>
      </c>
      <c r="H15" s="159"/>
      <c r="I15" s="179"/>
      <c r="J15" s="181">
        <v>28598</v>
      </c>
      <c r="K15" s="185"/>
      <c r="L15" s="159"/>
      <c r="M15" s="205">
        <f t="shared" si="0"/>
        <v>998850</v>
      </c>
    </row>
    <row r="16" spans="1:17">
      <c r="C16" s="170">
        <v>43313</v>
      </c>
      <c r="D16" s="154"/>
      <c r="E16" s="198" t="s">
        <v>371</v>
      </c>
      <c r="F16" s="154"/>
      <c r="G16" s="157" t="s">
        <v>44</v>
      </c>
      <c r="H16" s="159"/>
      <c r="I16" s="179"/>
      <c r="J16" s="181">
        <v>29986</v>
      </c>
      <c r="K16" s="185"/>
      <c r="L16" s="159"/>
      <c r="M16" s="205">
        <f t="shared" si="0"/>
        <v>1028836</v>
      </c>
    </row>
    <row r="17" spans="1:16">
      <c r="C17" s="169">
        <v>43331</v>
      </c>
      <c r="D17" s="154"/>
      <c r="E17" s="164" t="s">
        <v>20</v>
      </c>
      <c r="F17" s="156" t="s">
        <v>19</v>
      </c>
      <c r="G17" s="157" t="s">
        <v>14</v>
      </c>
      <c r="H17" s="166"/>
      <c r="I17" s="179"/>
      <c r="J17" s="182"/>
      <c r="K17" s="185">
        <v>500000</v>
      </c>
      <c r="L17" s="159"/>
      <c r="M17" s="205">
        <f t="shared" si="0"/>
        <v>1528836</v>
      </c>
      <c r="O17" s="144"/>
      <c r="P17" s="81"/>
    </row>
    <row r="18" spans="1:16">
      <c r="A18"/>
      <c r="B18"/>
      <c r="C18" s="169">
        <v>43344</v>
      </c>
      <c r="D18" s="154"/>
      <c r="E18" s="198" t="s">
        <v>372</v>
      </c>
      <c r="F18" s="154"/>
      <c r="G18" s="157" t="s">
        <v>44</v>
      </c>
      <c r="H18" s="159"/>
      <c r="I18" s="179"/>
      <c r="J18" s="181">
        <v>25542</v>
      </c>
      <c r="K18" s="185"/>
      <c r="L18" s="159"/>
      <c r="M18" s="205">
        <f t="shared" si="0"/>
        <v>1554378</v>
      </c>
      <c r="O18" s="149" t="s">
        <v>352</v>
      </c>
      <c r="P18" s="146" t="s">
        <v>351</v>
      </c>
    </row>
    <row r="19" spans="1:16">
      <c r="A19"/>
      <c r="B19"/>
      <c r="C19" s="169">
        <v>43374</v>
      </c>
      <c r="D19" s="154"/>
      <c r="E19" s="198" t="s">
        <v>373</v>
      </c>
      <c r="F19" s="154"/>
      <c r="G19" s="157" t="s">
        <v>44</v>
      </c>
      <c r="H19" s="159"/>
      <c r="I19" s="179"/>
      <c r="J19" s="181">
        <v>23981</v>
      </c>
      <c r="K19" s="185"/>
      <c r="L19" s="159"/>
      <c r="M19" s="205">
        <f t="shared" si="0"/>
        <v>1578359</v>
      </c>
      <c r="O19" s="147">
        <f>8926+1500</f>
        <v>10426</v>
      </c>
      <c r="P19" s="148">
        <v>12200</v>
      </c>
    </row>
    <row r="20" spans="1:16">
      <c r="A20"/>
      <c r="B20"/>
      <c r="C20" s="169">
        <v>43405</v>
      </c>
      <c r="D20" s="154"/>
      <c r="E20" s="198" t="s">
        <v>374</v>
      </c>
      <c r="F20" s="164"/>
      <c r="G20" s="157" t="s">
        <v>44</v>
      </c>
      <c r="H20" s="159"/>
      <c r="I20" s="179"/>
      <c r="J20" s="181">
        <v>32416</v>
      </c>
      <c r="K20" s="185"/>
      <c r="L20" s="159"/>
      <c r="M20" s="205">
        <f t="shared" si="0"/>
        <v>1610775</v>
      </c>
      <c r="O20" s="147">
        <f>12430</f>
        <v>12430</v>
      </c>
      <c r="P20" s="148">
        <v>14500</v>
      </c>
    </row>
    <row r="21" spans="1:16">
      <c r="A21"/>
      <c r="B21"/>
      <c r="C21" s="188">
        <v>43433</v>
      </c>
      <c r="D21" s="197" t="s">
        <v>19</v>
      </c>
      <c r="E21" s="190" t="s">
        <v>370</v>
      </c>
      <c r="F21" s="191" t="s">
        <v>104</v>
      </c>
      <c r="G21" s="167" t="s">
        <v>377</v>
      </c>
      <c r="H21" s="193"/>
      <c r="I21" s="194"/>
      <c r="J21" s="195"/>
      <c r="K21" s="196">
        <v>-125000</v>
      </c>
      <c r="L21" s="199"/>
      <c r="M21" s="205">
        <f t="shared" si="0"/>
        <v>1485775</v>
      </c>
      <c r="O21" s="147">
        <f>10833</f>
        <v>10833</v>
      </c>
      <c r="P21" s="148">
        <v>13300</v>
      </c>
    </row>
    <row r="22" spans="1:16">
      <c r="A22"/>
      <c r="B22"/>
      <c r="C22" s="169">
        <v>43435</v>
      </c>
      <c r="D22" s="154"/>
      <c r="E22" s="198" t="s">
        <v>370</v>
      </c>
      <c r="F22" s="154"/>
      <c r="G22" s="157" t="s">
        <v>44</v>
      </c>
      <c r="H22" s="159"/>
      <c r="I22" s="179"/>
      <c r="J22" s="181">
        <v>20587</v>
      </c>
      <c r="K22" s="185"/>
      <c r="L22" s="159"/>
      <c r="M22" s="205">
        <f t="shared" si="0"/>
        <v>1506362</v>
      </c>
      <c r="O22" s="147">
        <f>12410</f>
        <v>12410</v>
      </c>
      <c r="P22" s="148">
        <v>6625</v>
      </c>
    </row>
    <row r="23" spans="1:16">
      <c r="A23"/>
      <c r="B23"/>
      <c r="C23" s="188">
        <v>43442</v>
      </c>
      <c r="D23" s="189"/>
      <c r="E23" s="190" t="s">
        <v>363</v>
      </c>
      <c r="F23" s="191" t="s">
        <v>124</v>
      </c>
      <c r="G23" s="192" t="s">
        <v>377</v>
      </c>
      <c r="H23" s="193"/>
      <c r="I23" s="194"/>
      <c r="J23" s="195"/>
      <c r="K23" s="196">
        <v>60000</v>
      </c>
      <c r="L23" s="199"/>
      <c r="M23" s="205">
        <f t="shared" si="0"/>
        <v>1566362</v>
      </c>
    </row>
    <row r="24" spans="1:16">
      <c r="A24"/>
      <c r="B24"/>
      <c r="C24" s="188">
        <v>43443</v>
      </c>
      <c r="D24" s="189"/>
      <c r="E24" s="190" t="s">
        <v>363</v>
      </c>
      <c r="F24" s="191" t="s">
        <v>124</v>
      </c>
      <c r="G24" s="192" t="s">
        <v>377</v>
      </c>
      <c r="H24" s="193"/>
      <c r="I24" s="194"/>
      <c r="J24" s="195"/>
      <c r="K24" s="196">
        <v>15000</v>
      </c>
      <c r="L24" s="199"/>
      <c r="M24" s="205">
        <f t="shared" si="0"/>
        <v>1581362</v>
      </c>
    </row>
    <row r="25" spans="1:16">
      <c r="A25"/>
      <c r="B25"/>
      <c r="C25" s="188">
        <v>43444</v>
      </c>
      <c r="D25" s="189"/>
      <c r="E25" s="190" t="s">
        <v>363</v>
      </c>
      <c r="F25" s="191" t="s">
        <v>124</v>
      </c>
      <c r="G25" s="192" t="s">
        <v>377</v>
      </c>
      <c r="H25" s="193"/>
      <c r="I25" s="194"/>
      <c r="J25" s="195"/>
      <c r="K25" s="196">
        <v>50000</v>
      </c>
      <c r="L25" s="199"/>
      <c r="M25" s="205">
        <f t="shared" si="0"/>
        <v>1631362</v>
      </c>
    </row>
    <row r="26" spans="1:16">
      <c r="A26"/>
      <c r="B26"/>
      <c r="C26" s="188">
        <v>43458</v>
      </c>
      <c r="D26" s="189"/>
      <c r="E26" s="190" t="s">
        <v>363</v>
      </c>
      <c r="F26" s="191" t="s">
        <v>104</v>
      </c>
      <c r="G26" s="167" t="s">
        <v>377</v>
      </c>
      <c r="H26" s="193"/>
      <c r="I26" s="194"/>
      <c r="J26" s="195"/>
      <c r="K26" s="196">
        <v>-50000</v>
      </c>
      <c r="L26" s="199"/>
      <c r="M26" s="205">
        <f t="shared" si="0"/>
        <v>1581362</v>
      </c>
    </row>
    <row r="27" spans="1:16">
      <c r="A27"/>
      <c r="B27"/>
      <c r="C27" s="169">
        <v>43435</v>
      </c>
      <c r="D27" s="154"/>
      <c r="E27" s="198" t="s">
        <v>363</v>
      </c>
      <c r="F27" s="154"/>
      <c r="G27" s="157" t="s">
        <v>44</v>
      </c>
      <c r="H27" s="159"/>
      <c r="I27" s="179"/>
      <c r="J27" s="181">
        <v>23768</v>
      </c>
      <c r="K27" s="185"/>
      <c r="L27" s="166"/>
      <c r="M27" s="205">
        <f t="shared" si="0"/>
        <v>1605130</v>
      </c>
    </row>
    <row r="28" spans="1:16">
      <c r="A28"/>
      <c r="B28"/>
      <c r="C28" s="169">
        <v>43466</v>
      </c>
      <c r="D28" s="154"/>
      <c r="E28" s="198" t="s">
        <v>364</v>
      </c>
      <c r="F28" s="154"/>
      <c r="G28" s="157" t="s">
        <v>44</v>
      </c>
      <c r="H28" s="159"/>
      <c r="I28" s="179"/>
      <c r="J28" s="181">
        <v>17259</v>
      </c>
      <c r="K28" s="186"/>
      <c r="L28" s="166"/>
      <c r="M28" s="205">
        <f t="shared" si="0"/>
        <v>1622389</v>
      </c>
    </row>
    <row r="29" spans="1:16">
      <c r="A29"/>
      <c r="B29"/>
      <c r="C29" s="169">
        <v>43497</v>
      </c>
      <c r="D29" s="230">
        <v>1622389</v>
      </c>
      <c r="E29" s="198" t="s">
        <v>365</v>
      </c>
      <c r="F29" s="165"/>
      <c r="G29" s="157" t="s">
        <v>44</v>
      </c>
      <c r="H29" s="159"/>
      <c r="I29" s="179">
        <v>1500</v>
      </c>
      <c r="J29" s="181">
        <v>18140</v>
      </c>
      <c r="K29" s="186"/>
      <c r="L29" s="166"/>
      <c r="M29" s="205">
        <f t="shared" si="0"/>
        <v>1639029</v>
      </c>
      <c r="O29" s="127"/>
    </row>
    <row r="30" spans="1:16">
      <c r="A30"/>
      <c r="B30"/>
      <c r="C30" s="169">
        <v>43525</v>
      </c>
      <c r="D30" s="231">
        <f t="shared" ref="D30:D40" si="1">D29+J29-I29</f>
        <v>1639029</v>
      </c>
      <c r="E30" s="198" t="s">
        <v>366</v>
      </c>
      <c r="F30" s="165"/>
      <c r="G30" s="157" t="s">
        <v>44</v>
      </c>
      <c r="H30" s="159"/>
      <c r="I30" s="179">
        <v>2430</v>
      </c>
      <c r="J30" s="181">
        <v>30428</v>
      </c>
      <c r="K30" s="186"/>
      <c r="L30" s="166"/>
      <c r="M30" s="205">
        <f t="shared" si="0"/>
        <v>1667027</v>
      </c>
      <c r="O30" s="127"/>
    </row>
    <row r="31" spans="1:16">
      <c r="A31"/>
      <c r="B31"/>
      <c r="C31" s="169">
        <v>43556</v>
      </c>
      <c r="D31" s="231">
        <f t="shared" si="1"/>
        <v>1667027</v>
      </c>
      <c r="E31" s="198" t="s">
        <v>367</v>
      </c>
      <c r="F31" s="165"/>
      <c r="G31" s="157" t="s">
        <v>44</v>
      </c>
      <c r="H31" s="159"/>
      <c r="I31" s="179">
        <v>1500</v>
      </c>
      <c r="J31" s="181">
        <v>18289</v>
      </c>
      <c r="K31" s="186"/>
      <c r="L31" s="166"/>
      <c r="M31" s="205">
        <f t="shared" si="0"/>
        <v>1683816</v>
      </c>
      <c r="O31" s="127"/>
    </row>
    <row r="32" spans="1:16">
      <c r="A32"/>
      <c r="B32"/>
      <c r="C32" s="171">
        <v>43586</v>
      </c>
      <c r="D32" s="231">
        <f t="shared" si="1"/>
        <v>1683816</v>
      </c>
      <c r="E32" s="198" t="s">
        <v>368</v>
      </c>
      <c r="F32" s="165"/>
      <c r="G32" s="157" t="s">
        <v>44</v>
      </c>
      <c r="H32" s="159"/>
      <c r="I32" s="179">
        <v>2730</v>
      </c>
      <c r="J32" s="181">
        <v>23000</v>
      </c>
      <c r="K32" s="186"/>
      <c r="L32" s="166"/>
      <c r="M32" s="205">
        <f t="shared" si="0"/>
        <v>1704086</v>
      </c>
      <c r="O32" s="127"/>
    </row>
    <row r="33" spans="1:16">
      <c r="A33"/>
      <c r="B33"/>
      <c r="C33" s="171">
        <v>43617</v>
      </c>
      <c r="D33" s="231">
        <f t="shared" si="1"/>
        <v>1704086</v>
      </c>
      <c r="E33" s="198" t="s">
        <v>369</v>
      </c>
      <c r="F33" s="154"/>
      <c r="G33" s="157" t="s">
        <v>44</v>
      </c>
      <c r="H33" s="159"/>
      <c r="I33" s="179">
        <v>0</v>
      </c>
      <c r="J33" s="181">
        <v>15122</v>
      </c>
      <c r="K33" s="186"/>
      <c r="L33" s="200"/>
      <c r="M33" s="205">
        <f t="shared" si="0"/>
        <v>1719208</v>
      </c>
    </row>
    <row r="34" spans="1:16">
      <c r="A34"/>
      <c r="B34"/>
      <c r="C34" s="171">
        <v>43647</v>
      </c>
      <c r="D34" s="231">
        <f t="shared" si="1"/>
        <v>1719208</v>
      </c>
      <c r="E34" s="198" t="s">
        <v>371</v>
      </c>
      <c r="F34" s="154"/>
      <c r="G34" s="157" t="s">
        <v>44</v>
      </c>
      <c r="H34" s="159"/>
      <c r="I34" s="179">
        <v>1080</v>
      </c>
      <c r="J34" s="181">
        <v>18954</v>
      </c>
      <c r="K34" s="187"/>
      <c r="L34" s="200"/>
      <c r="M34" s="206"/>
      <c r="P34" t="s">
        <v>545</v>
      </c>
    </row>
    <row r="35" spans="1:16">
      <c r="A35"/>
      <c r="B35"/>
      <c r="C35" s="171">
        <v>43678</v>
      </c>
      <c r="D35" s="231">
        <f t="shared" si="1"/>
        <v>1737082</v>
      </c>
      <c r="E35" s="198" t="s">
        <v>372</v>
      </c>
      <c r="F35" s="154"/>
      <c r="G35" s="157" t="s">
        <v>44</v>
      </c>
      <c r="H35" s="159"/>
      <c r="I35" s="179">
        <v>0</v>
      </c>
      <c r="J35" s="181">
        <v>21398</v>
      </c>
      <c r="K35" s="187"/>
      <c r="L35" s="200"/>
      <c r="M35" s="206"/>
    </row>
    <row r="36" spans="1:16">
      <c r="A36"/>
      <c r="B36"/>
      <c r="C36" s="171">
        <v>43710</v>
      </c>
      <c r="D36" s="231">
        <f t="shared" si="1"/>
        <v>1758480</v>
      </c>
      <c r="E36" s="198" t="s">
        <v>373</v>
      </c>
      <c r="F36" s="154"/>
      <c r="G36" s="157" t="s">
        <v>44</v>
      </c>
      <c r="H36" s="166"/>
      <c r="I36" s="179">
        <v>0</v>
      </c>
      <c r="J36" s="181">
        <v>27496</v>
      </c>
      <c r="K36" s="187"/>
      <c r="L36" s="166"/>
      <c r="M36" s="206"/>
    </row>
    <row r="37" spans="1:16">
      <c r="A37"/>
      <c r="B37"/>
      <c r="C37" s="171">
        <v>43739</v>
      </c>
      <c r="D37" s="231">
        <f t="shared" si="1"/>
        <v>1785976</v>
      </c>
      <c r="E37" s="198" t="s">
        <v>374</v>
      </c>
      <c r="F37" s="154"/>
      <c r="G37" s="157" t="s">
        <v>44</v>
      </c>
      <c r="H37" s="166"/>
      <c r="I37" s="179">
        <v>0</v>
      </c>
      <c r="J37" s="181">
        <v>35605</v>
      </c>
      <c r="K37" s="187"/>
      <c r="L37" s="166"/>
      <c r="M37" s="206"/>
    </row>
    <row r="38" spans="1:16">
      <c r="A38"/>
      <c r="B38"/>
      <c r="C38" s="171">
        <v>43770</v>
      </c>
      <c r="D38" s="231">
        <f t="shared" si="1"/>
        <v>1821581</v>
      </c>
      <c r="E38" s="198" t="s">
        <v>370</v>
      </c>
      <c r="F38" s="154"/>
      <c r="G38" s="157" t="s">
        <v>44</v>
      </c>
      <c r="H38" s="166"/>
      <c r="I38" s="179">
        <v>0</v>
      </c>
      <c r="J38" s="181">
        <v>22132</v>
      </c>
      <c r="K38" s="187"/>
      <c r="L38" s="166"/>
      <c r="M38" s="206"/>
    </row>
    <row r="39" spans="1:16">
      <c r="A39"/>
      <c r="B39"/>
      <c r="C39" s="171">
        <v>43801</v>
      </c>
      <c r="D39" s="231">
        <f t="shared" si="1"/>
        <v>1843713</v>
      </c>
      <c r="E39" s="198" t="s">
        <v>363</v>
      </c>
      <c r="F39" s="154"/>
      <c r="G39" s="157" t="s">
        <v>44</v>
      </c>
      <c r="H39" s="166"/>
      <c r="I39" s="179">
        <v>0</v>
      </c>
      <c r="J39" s="181">
        <v>25653</v>
      </c>
      <c r="K39" s="187"/>
      <c r="L39" s="166"/>
      <c r="M39" s="206"/>
    </row>
    <row r="40" spans="1:16">
      <c r="A40"/>
      <c r="B40"/>
      <c r="C40" s="171">
        <v>43831</v>
      </c>
      <c r="D40" s="231">
        <f t="shared" si="1"/>
        <v>1869366</v>
      </c>
      <c r="E40" s="198" t="s">
        <v>364</v>
      </c>
      <c r="F40" s="154"/>
      <c r="G40" s="157" t="s">
        <v>44</v>
      </c>
      <c r="H40" s="166"/>
      <c r="I40" s="179">
        <v>0</v>
      </c>
      <c r="J40" s="181">
        <v>26427</v>
      </c>
      <c r="K40" s="187"/>
      <c r="L40" s="166"/>
      <c r="M40" s="206"/>
    </row>
    <row r="41" spans="1:16">
      <c r="A41"/>
      <c r="B41"/>
      <c r="C41" s="171">
        <v>43862</v>
      </c>
      <c r="D41" s="231">
        <f>D40+J40-I40</f>
        <v>1895793</v>
      </c>
      <c r="E41" s="198" t="s">
        <v>365</v>
      </c>
      <c r="F41" s="154"/>
      <c r="G41" s="157" t="s">
        <v>44</v>
      </c>
      <c r="H41" s="166"/>
      <c r="I41" s="183"/>
      <c r="J41" s="181">
        <v>23373</v>
      </c>
      <c r="K41" s="187"/>
      <c r="L41" s="166"/>
      <c r="M41" s="206"/>
    </row>
    <row r="42" spans="1:16">
      <c r="A42"/>
      <c r="B42"/>
      <c r="C42" s="171">
        <v>43892</v>
      </c>
      <c r="D42" s="231">
        <f t="shared" ref="D42:D45" si="2">D41+J41-I41</f>
        <v>1919166</v>
      </c>
      <c r="E42" s="198" t="s">
        <v>366</v>
      </c>
      <c r="F42" s="154"/>
      <c r="G42" s="157" t="s">
        <v>44</v>
      </c>
      <c r="H42" s="166"/>
      <c r="I42" s="183"/>
      <c r="J42" s="181"/>
      <c r="K42" s="187"/>
      <c r="L42" s="166"/>
      <c r="M42" s="206"/>
    </row>
    <row r="43" spans="1:16">
      <c r="A43"/>
      <c r="B43"/>
      <c r="C43" s="171">
        <v>43922</v>
      </c>
      <c r="D43" s="231">
        <f t="shared" si="2"/>
        <v>1919166</v>
      </c>
      <c r="E43" s="198" t="s">
        <v>367</v>
      </c>
      <c r="F43" s="154"/>
      <c r="G43" s="157" t="s">
        <v>44</v>
      </c>
      <c r="H43" s="166"/>
      <c r="I43" s="183"/>
      <c r="J43" s="181"/>
      <c r="K43" s="187"/>
      <c r="L43" s="166"/>
      <c r="M43" s="206"/>
    </row>
    <row r="44" spans="1:16">
      <c r="A44"/>
      <c r="B44"/>
      <c r="C44" s="171">
        <v>43952</v>
      </c>
      <c r="D44" s="231">
        <f t="shared" si="2"/>
        <v>1919166</v>
      </c>
      <c r="E44" s="198" t="s">
        <v>368</v>
      </c>
      <c r="F44" s="154"/>
      <c r="G44" s="157" t="s">
        <v>44</v>
      </c>
      <c r="H44" s="166"/>
      <c r="I44" s="183"/>
      <c r="J44" s="181"/>
      <c r="K44" s="187"/>
      <c r="L44" s="166"/>
      <c r="M44" s="206"/>
    </row>
    <row r="45" spans="1:16">
      <c r="A45"/>
      <c r="B45"/>
      <c r="C45" s="171">
        <v>43983</v>
      </c>
      <c r="D45" s="231">
        <f t="shared" si="2"/>
        <v>1919166</v>
      </c>
      <c r="E45" s="198" t="s">
        <v>369</v>
      </c>
      <c r="F45" s="154"/>
      <c r="G45" s="157" t="s">
        <v>44</v>
      </c>
      <c r="H45" s="166"/>
      <c r="I45" s="183"/>
      <c r="J45" s="181"/>
      <c r="K45" s="187"/>
      <c r="L45" s="166"/>
      <c r="M45" s="206"/>
    </row>
    <row r="46" spans="1:16">
      <c r="A46"/>
      <c r="B46"/>
      <c r="C46" s="176"/>
      <c r="D46" s="154"/>
      <c r="E46" s="154"/>
      <c r="F46" s="154"/>
      <c r="G46" s="154"/>
      <c r="H46" s="166"/>
      <c r="I46" s="183"/>
      <c r="J46" s="181"/>
      <c r="K46" s="187"/>
      <c r="L46" s="166"/>
      <c r="M46" s="206"/>
    </row>
    <row r="47" spans="1:16">
      <c r="A47"/>
      <c r="B47"/>
      <c r="C47" s="176"/>
      <c r="D47" s="154"/>
      <c r="E47" s="154"/>
      <c r="F47" s="154"/>
      <c r="G47" s="154"/>
      <c r="H47" s="166"/>
      <c r="I47" s="183"/>
      <c r="J47" s="182"/>
      <c r="K47" s="187"/>
      <c r="L47" s="166"/>
      <c r="M47" s="206"/>
    </row>
    <row r="48" spans="1:16">
      <c r="A48"/>
      <c r="B48"/>
      <c r="C48" s="176"/>
      <c r="D48" s="154"/>
      <c r="E48" s="154"/>
      <c r="F48" s="154"/>
      <c r="G48" s="154"/>
      <c r="H48" s="166"/>
      <c r="I48" s="183"/>
      <c r="J48" s="182"/>
      <c r="K48" s="187"/>
      <c r="L48" s="166"/>
      <c r="M48" s="206"/>
    </row>
    <row r="49" spans="1:13">
      <c r="A49"/>
      <c r="B49"/>
      <c r="C49" s="176"/>
      <c r="D49" s="154"/>
      <c r="E49" s="154"/>
      <c r="F49" s="154"/>
      <c r="G49" s="154"/>
      <c r="H49" s="166"/>
      <c r="I49" s="183"/>
      <c r="J49" s="182"/>
      <c r="K49" s="187"/>
      <c r="L49" s="166"/>
      <c r="M49" s="206"/>
    </row>
    <row r="50" spans="1:13">
      <c r="A50"/>
      <c r="B50"/>
      <c r="C50" s="176"/>
      <c r="D50" s="154"/>
      <c r="E50" s="154"/>
      <c r="F50" s="154"/>
      <c r="G50" s="154"/>
      <c r="H50" s="166"/>
      <c r="I50" s="183"/>
      <c r="J50" s="182"/>
      <c r="K50" s="187"/>
      <c r="L50" s="166"/>
      <c r="M50" s="206"/>
    </row>
    <row r="51" spans="1:13">
      <c r="A51"/>
      <c r="B51"/>
      <c r="C51" s="176"/>
      <c r="D51" s="154"/>
      <c r="E51" s="154"/>
      <c r="F51" s="154"/>
      <c r="G51" s="154"/>
      <c r="H51" s="166"/>
      <c r="I51" s="183"/>
      <c r="J51" s="182"/>
      <c r="K51" s="187"/>
      <c r="L51" s="166"/>
      <c r="M51" s="206"/>
    </row>
    <row r="52" spans="1:13">
      <c r="A52"/>
      <c r="B52"/>
      <c r="C52" s="176"/>
      <c r="D52" s="154"/>
      <c r="E52" s="154"/>
      <c r="F52" s="154"/>
      <c r="G52" s="154"/>
      <c r="H52" s="166"/>
      <c r="I52" s="183"/>
      <c r="J52" s="182"/>
      <c r="K52" s="187"/>
      <c r="L52" s="166"/>
      <c r="M52" s="206"/>
    </row>
    <row r="53" spans="1:13">
      <c r="A53"/>
      <c r="B53"/>
      <c r="C53" s="176"/>
      <c r="D53" s="154"/>
      <c r="E53" s="154"/>
      <c r="F53" s="154"/>
      <c r="G53" s="154"/>
      <c r="H53" s="166"/>
      <c r="I53" s="183"/>
      <c r="J53" s="182"/>
      <c r="K53" s="187"/>
      <c r="L53" s="166"/>
      <c r="M53" s="206"/>
    </row>
    <row r="54" spans="1:13">
      <c r="A54"/>
      <c r="B54"/>
      <c r="C54" s="176"/>
      <c r="D54" s="154"/>
      <c r="E54" s="154"/>
      <c r="F54" s="154"/>
      <c r="G54" s="154"/>
      <c r="H54" s="166"/>
      <c r="I54" s="183"/>
      <c r="J54" s="182"/>
      <c r="K54" s="187"/>
      <c r="L54" s="166"/>
      <c r="M54" s="206"/>
    </row>
    <row r="55" spans="1:13">
      <c r="A55"/>
      <c r="B55"/>
      <c r="C55" s="176"/>
      <c r="D55" s="154"/>
      <c r="E55" s="154"/>
      <c r="F55" s="154"/>
      <c r="G55" s="154"/>
      <c r="H55" s="166"/>
      <c r="I55" s="183"/>
      <c r="J55" s="182"/>
      <c r="K55" s="187"/>
      <c r="L55" s="166"/>
      <c r="M55" s="206"/>
    </row>
    <row r="56" spans="1:13">
      <c r="A56"/>
      <c r="B56"/>
      <c r="C56" s="176"/>
      <c r="D56" s="154"/>
      <c r="E56" s="154"/>
      <c r="F56" s="154"/>
      <c r="G56" s="154"/>
      <c r="H56" s="166"/>
      <c r="I56" s="183"/>
      <c r="J56" s="182"/>
      <c r="K56" s="187"/>
      <c r="L56" s="166"/>
      <c r="M56" s="206"/>
    </row>
    <row r="57" spans="1:13">
      <c r="A57"/>
      <c r="B57"/>
      <c r="C57" s="176"/>
      <c r="D57" s="154"/>
      <c r="E57" s="154"/>
      <c r="F57" s="154"/>
      <c r="G57" s="154"/>
      <c r="H57" s="166"/>
      <c r="I57" s="183"/>
      <c r="J57" s="182"/>
      <c r="K57" s="187"/>
      <c r="L57" s="166"/>
      <c r="M57" s="206"/>
    </row>
    <row r="58" spans="1:13">
      <c r="A58"/>
      <c r="B58"/>
      <c r="C58" s="176"/>
      <c r="D58" s="154"/>
      <c r="E58" s="154"/>
      <c r="F58" s="154"/>
      <c r="G58" s="154"/>
      <c r="H58" s="166"/>
      <c r="I58" s="183"/>
      <c r="J58" s="182"/>
      <c r="K58" s="187"/>
      <c r="L58" s="166"/>
      <c r="M58" s="206"/>
    </row>
    <row r="59" spans="1:13">
      <c r="A59"/>
      <c r="B59"/>
      <c r="C59" s="176"/>
      <c r="D59" s="154"/>
      <c r="E59" s="154"/>
      <c r="F59" s="154"/>
      <c r="G59" s="154"/>
      <c r="H59" s="166"/>
      <c r="I59" s="183"/>
      <c r="J59" s="182"/>
      <c r="K59" s="187"/>
      <c r="L59" s="166"/>
      <c r="M59" s="206"/>
    </row>
    <row r="60" spans="1:13">
      <c r="A60"/>
      <c r="B60"/>
      <c r="C60" s="176"/>
      <c r="D60" s="154"/>
      <c r="E60" s="154"/>
      <c r="F60" s="154"/>
      <c r="G60" s="154"/>
      <c r="H60" s="166"/>
      <c r="I60" s="183"/>
      <c r="J60" s="182"/>
      <c r="K60" s="187"/>
      <c r="L60" s="166"/>
      <c r="M60" s="206"/>
    </row>
    <row r="61" spans="1:13" ht="16.5" thickBot="1">
      <c r="A61"/>
      <c r="B61"/>
      <c r="C61" s="177"/>
      <c r="D61" s="172"/>
      <c r="E61" s="172"/>
      <c r="F61" s="172"/>
      <c r="G61" s="172"/>
      <c r="H61" s="178"/>
      <c r="I61" s="204"/>
      <c r="J61" s="184"/>
      <c r="K61" s="208"/>
      <c r="L61" s="178"/>
      <c r="M61" s="207"/>
    </row>
    <row r="62" spans="1:13" ht="15">
      <c r="A62"/>
      <c r="B62"/>
      <c r="C62"/>
    </row>
    <row r="63" spans="1:13" ht="15">
      <c r="A63"/>
      <c r="B63"/>
      <c r="C63"/>
    </row>
    <row r="64" spans="1:13" ht="15">
      <c r="A64"/>
      <c r="B64"/>
      <c r="C64"/>
    </row>
  </sheetData>
  <mergeCells count="1">
    <mergeCell ref="C2:E2"/>
  </mergeCells>
  <pageMargins left="0" right="0" top="0" bottom="0" header="0.26180555599999999" footer="0.2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 AUTO</vt:lpstr>
      <vt:lpstr>AUG print</vt:lpstr>
      <vt:lpstr>InvestMent</vt:lpstr>
      <vt:lpstr>InvestMent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2019-11-07T08:06:21Z</cp:lastPrinted>
  <dcterms:created xsi:type="dcterms:W3CDTF">2018-09-22T06:35:30Z</dcterms:created>
  <dcterms:modified xsi:type="dcterms:W3CDTF">2020-06-05T16:31:28Z</dcterms:modified>
</cp:coreProperties>
</file>